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2BAF6565-138D-4209-808A-A4FD0669E5A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roucení" sheetId="1" r:id="rId1"/>
    <sheet name="Kroucení - vetknutí" sheetId="4" r:id="rId2"/>
    <sheet name="Prosté" sheetId="2" r:id="rId3"/>
    <sheet name="IPE" sheetId="5" r:id="rId4"/>
    <sheet name="Steel grade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9" i="1"/>
  <c r="E59" i="1"/>
  <c r="E58" i="1"/>
  <c r="E57" i="1"/>
  <c r="B54" i="1"/>
  <c r="F14" i="1"/>
  <c r="E53" i="1"/>
  <c r="E54" i="1" s="1"/>
  <c r="B48" i="1"/>
  <c r="F16" i="1"/>
  <c r="E49" i="1" s="1"/>
  <c r="B26" i="1"/>
  <c r="E37" i="1"/>
  <c r="E25" i="1"/>
  <c r="T3" i="1"/>
  <c r="F15" i="1"/>
  <c r="E47" i="1" s="1"/>
  <c r="F13" i="1"/>
  <c r="F10" i="1"/>
  <c r="F9" i="1"/>
  <c r="F8" i="1"/>
  <c r="F7" i="1"/>
  <c r="F5" i="1"/>
  <c r="F4" i="1"/>
  <c r="B49" i="1" l="1"/>
  <c r="B47" i="1"/>
  <c r="E52" i="1"/>
  <c r="U3" i="1"/>
  <c r="Q3" i="4" l="1"/>
  <c r="R3" i="4"/>
  <c r="O3" i="4"/>
  <c r="P3" i="4"/>
  <c r="B5" i="4" l="1"/>
  <c r="F14" i="4"/>
  <c r="L23" i="4"/>
  <c r="L22" i="4"/>
  <c r="L21" i="4"/>
  <c r="L20" i="4"/>
  <c r="L19" i="4"/>
  <c r="L18" i="4"/>
  <c r="L17" i="4"/>
  <c r="L16" i="4"/>
  <c r="L15" i="4"/>
  <c r="L14" i="4"/>
  <c r="L13" i="4"/>
  <c r="F13" i="4"/>
  <c r="L12" i="4"/>
  <c r="L11" i="4"/>
  <c r="L10" i="4"/>
  <c r="L9" i="4"/>
  <c r="L8" i="4"/>
  <c r="L7" i="4"/>
  <c r="B7" i="4"/>
  <c r="L6" i="4"/>
  <c r="L5" i="4"/>
  <c r="L4" i="4"/>
  <c r="F6" i="1"/>
  <c r="F6" i="2"/>
  <c r="F7" i="2" s="1"/>
  <c r="B6" i="2"/>
  <c r="B7" i="2" s="1"/>
  <c r="B8" i="2" s="1"/>
  <c r="L5" i="1"/>
  <c r="T5" i="1" s="1"/>
  <c r="U5" i="1" s="1"/>
  <c r="L6" i="1"/>
  <c r="T6" i="1" s="1"/>
  <c r="U6" i="1" s="1"/>
  <c r="L7" i="1"/>
  <c r="T7" i="1" s="1"/>
  <c r="U7" i="1" s="1"/>
  <c r="L8" i="1"/>
  <c r="T8" i="1" s="1"/>
  <c r="U8" i="1" s="1"/>
  <c r="L9" i="1"/>
  <c r="T9" i="1" s="1"/>
  <c r="U9" i="1" s="1"/>
  <c r="L10" i="1"/>
  <c r="T10" i="1" s="1"/>
  <c r="U10" i="1" s="1"/>
  <c r="L11" i="1"/>
  <c r="T11" i="1" s="1"/>
  <c r="U11" i="1" s="1"/>
  <c r="L12" i="1"/>
  <c r="T12" i="1" s="1"/>
  <c r="U12" i="1" s="1"/>
  <c r="L13" i="1"/>
  <c r="T13" i="1" s="1"/>
  <c r="U13" i="1" s="1"/>
  <c r="L14" i="1"/>
  <c r="T14" i="1" s="1"/>
  <c r="U14" i="1" s="1"/>
  <c r="L15" i="1"/>
  <c r="T15" i="1" s="1"/>
  <c r="U15" i="1" s="1"/>
  <c r="L16" i="1"/>
  <c r="T16" i="1" s="1"/>
  <c r="U16" i="1" s="1"/>
  <c r="L17" i="1"/>
  <c r="T17" i="1" s="1"/>
  <c r="U17" i="1" s="1"/>
  <c r="L18" i="1"/>
  <c r="T18" i="1" s="1"/>
  <c r="U18" i="1" s="1"/>
  <c r="L19" i="1"/>
  <c r="T19" i="1" s="1"/>
  <c r="U19" i="1" s="1"/>
  <c r="L20" i="1"/>
  <c r="T20" i="1" s="1"/>
  <c r="U20" i="1" s="1"/>
  <c r="L21" i="1"/>
  <c r="T21" i="1" s="1"/>
  <c r="U21" i="1" s="1"/>
  <c r="L22" i="1"/>
  <c r="T22" i="1" s="1"/>
  <c r="U22" i="1" s="1"/>
  <c r="L23" i="1"/>
  <c r="T23" i="1" s="1"/>
  <c r="U23" i="1" s="1"/>
  <c r="L4" i="1"/>
  <c r="T4" i="1" s="1"/>
  <c r="U4" i="1" s="1"/>
  <c r="E24" i="1" l="1"/>
  <c r="B24" i="1"/>
  <c r="F8" i="4"/>
  <c r="M19" i="4"/>
  <c r="M11" i="4"/>
  <c r="P11" i="4" s="1"/>
  <c r="M18" i="4"/>
  <c r="P18" i="4" s="1"/>
  <c r="P19" i="4"/>
  <c r="O3" i="1"/>
  <c r="F11" i="1"/>
  <c r="F12" i="1"/>
  <c r="B52" i="1"/>
  <c r="B6" i="1"/>
  <c r="E40" i="1" l="1"/>
  <c r="B42" i="1"/>
  <c r="E39" i="1"/>
  <c r="E42" i="1" s="1"/>
  <c r="E38" i="1"/>
  <c r="E41" i="1" s="1"/>
  <c r="B57" i="1" s="1"/>
  <c r="B40" i="1"/>
  <c r="B38" i="1"/>
  <c r="B41" i="1" s="1"/>
  <c r="O13" i="1"/>
  <c r="S13" i="1" s="1"/>
  <c r="M11" i="1"/>
  <c r="P11" i="1" s="1"/>
  <c r="M16" i="1"/>
  <c r="P16" i="1" s="1"/>
  <c r="O20" i="1"/>
  <c r="N10" i="1"/>
  <c r="Q10" i="1" s="1"/>
  <c r="N3" i="1"/>
  <c r="Q3" i="1" s="1"/>
  <c r="N18" i="1"/>
  <c r="Q18" i="1" s="1"/>
  <c r="B29" i="1"/>
  <c r="E29" i="1"/>
  <c r="E27" i="1"/>
  <c r="E28" i="1"/>
  <c r="E31" i="1" s="1"/>
  <c r="N13" i="1"/>
  <c r="Q13" i="1" s="1"/>
  <c r="O12" i="1"/>
  <c r="R12" i="1" s="1"/>
  <c r="M17" i="1"/>
  <c r="P17" i="1" s="1"/>
  <c r="M21" i="1"/>
  <c r="P21" i="1" s="1"/>
  <c r="N6" i="1"/>
  <c r="Q6" i="1" s="1"/>
  <c r="N19" i="1"/>
  <c r="Q19" i="1" s="1"/>
  <c r="O7" i="1"/>
  <c r="N15" i="1"/>
  <c r="Q15" i="1" s="1"/>
  <c r="N12" i="1"/>
  <c r="Q12" i="1" s="1"/>
  <c r="M13" i="1"/>
  <c r="P13" i="1" s="1"/>
  <c r="N11" i="1"/>
  <c r="Q11" i="1" s="1"/>
  <c r="N7" i="1"/>
  <c r="Q7" i="1" s="1"/>
  <c r="N9" i="1"/>
  <c r="Q9" i="1" s="1"/>
  <c r="N16" i="1"/>
  <c r="Q16" i="1" s="1"/>
  <c r="O22" i="1"/>
  <c r="R22" i="1" s="1"/>
  <c r="N22" i="1"/>
  <c r="Q22" i="1" s="1"/>
  <c r="M3" i="1"/>
  <c r="P3" i="1" s="1"/>
  <c r="M6" i="1"/>
  <c r="P6" i="1" s="1"/>
  <c r="N23" i="1"/>
  <c r="Q23" i="1" s="1"/>
  <c r="O23" i="1"/>
  <c r="S23" i="1" s="1"/>
  <c r="N8" i="1"/>
  <c r="Q8" i="1" s="1"/>
  <c r="N21" i="1"/>
  <c r="Q21" i="1" s="1"/>
  <c r="N14" i="1"/>
  <c r="Q14" i="1" s="1"/>
  <c r="M20" i="1"/>
  <c r="P20" i="1" s="1"/>
  <c r="M19" i="1"/>
  <c r="P19" i="1" s="1"/>
  <c r="O8" i="1"/>
  <c r="S8" i="1" s="1"/>
  <c r="M5" i="1"/>
  <c r="P5" i="1" s="1"/>
  <c r="M4" i="1"/>
  <c r="P4" i="1" s="1"/>
  <c r="O9" i="1"/>
  <c r="S9" i="1" s="1"/>
  <c r="M23" i="1"/>
  <c r="P23" i="1" s="1"/>
  <c r="M9" i="1"/>
  <c r="P9" i="1" s="1"/>
  <c r="O19" i="1"/>
  <c r="S19" i="1" s="1"/>
  <c r="M18" i="1"/>
  <c r="P18" i="1" s="1"/>
  <c r="N17" i="1"/>
  <c r="Q17" i="1" s="1"/>
  <c r="O16" i="1"/>
  <c r="R16" i="1" s="1"/>
  <c r="O10" i="1"/>
  <c r="R10" i="1" s="1"/>
  <c r="O6" i="1"/>
  <c r="R6" i="1" s="1"/>
  <c r="M12" i="1"/>
  <c r="P12" i="1" s="1"/>
  <c r="M14" i="1"/>
  <c r="P14" i="1" s="1"/>
  <c r="O17" i="1"/>
  <c r="S17" i="1" s="1"/>
  <c r="M15" i="1"/>
  <c r="P15" i="1" s="1"/>
  <c r="N4" i="1"/>
  <c r="Q4" i="1" s="1"/>
  <c r="M7" i="1"/>
  <c r="P7" i="1" s="1"/>
  <c r="O21" i="1"/>
  <c r="S21" i="1" s="1"/>
  <c r="O4" i="1"/>
  <c r="S4" i="1" s="1"/>
  <c r="O11" i="1"/>
  <c r="S11" i="1" s="1"/>
  <c r="O15" i="1"/>
  <c r="S15" i="1" s="1"/>
  <c r="M8" i="1"/>
  <c r="P8" i="1" s="1"/>
  <c r="N20" i="1"/>
  <c r="Q20" i="1" s="1"/>
  <c r="N5" i="1"/>
  <c r="Q5" i="1" s="1"/>
  <c r="O18" i="1"/>
  <c r="R18" i="1" s="1"/>
  <c r="O14" i="1"/>
  <c r="R14" i="1" s="1"/>
  <c r="O5" i="1"/>
  <c r="M22" i="1"/>
  <c r="P22" i="1" s="1"/>
  <c r="M10" i="1"/>
  <c r="P10" i="1" s="1"/>
  <c r="O11" i="4"/>
  <c r="O19" i="4"/>
  <c r="S19" i="4" s="1"/>
  <c r="N6" i="4"/>
  <c r="Q6" i="4" s="1"/>
  <c r="N14" i="4"/>
  <c r="Q14" i="4" s="1"/>
  <c r="N22" i="4"/>
  <c r="Q22" i="4" s="1"/>
  <c r="M9" i="4"/>
  <c r="P9" i="4" s="1"/>
  <c r="M17" i="4"/>
  <c r="P17" i="4" s="1"/>
  <c r="O14" i="4"/>
  <c r="S14" i="4" s="1"/>
  <c r="N9" i="4"/>
  <c r="Q9" i="4" s="1"/>
  <c r="M4" i="4"/>
  <c r="P4" i="4" s="1"/>
  <c r="M20" i="4"/>
  <c r="P20" i="4" s="1"/>
  <c r="O7" i="4"/>
  <c r="N10" i="4"/>
  <c r="Q10" i="4" s="1"/>
  <c r="M21" i="4"/>
  <c r="P21" i="4" s="1"/>
  <c r="O16" i="4"/>
  <c r="R16" i="4" s="1"/>
  <c r="N11" i="4"/>
  <c r="Q11" i="4" s="1"/>
  <c r="M14" i="4"/>
  <c r="P14" i="4" s="1"/>
  <c r="O17" i="4"/>
  <c r="N20" i="4"/>
  <c r="Q20" i="4" s="1"/>
  <c r="M23" i="4"/>
  <c r="P23" i="4" s="1"/>
  <c r="O10" i="4"/>
  <c r="S10" i="4" s="1"/>
  <c r="N21" i="4"/>
  <c r="Q21" i="4" s="1"/>
  <c r="M3" i="4"/>
  <c r="O4" i="4"/>
  <c r="O12" i="4"/>
  <c r="S12" i="4" s="1"/>
  <c r="O20" i="4"/>
  <c r="S20" i="4" s="1"/>
  <c r="N7" i="4"/>
  <c r="Q7" i="4" s="1"/>
  <c r="N15" i="4"/>
  <c r="Q15" i="4" s="1"/>
  <c r="N23" i="4"/>
  <c r="Q23" i="4" s="1"/>
  <c r="O22" i="4"/>
  <c r="O23" i="4"/>
  <c r="M5" i="4"/>
  <c r="P5" i="4" s="1"/>
  <c r="M6" i="4"/>
  <c r="P6" i="4" s="1"/>
  <c r="N12" i="4"/>
  <c r="Q12" i="4" s="1"/>
  <c r="M15" i="4"/>
  <c r="P15" i="4" s="1"/>
  <c r="O18" i="4"/>
  <c r="R18" i="4" s="1"/>
  <c r="M8" i="4"/>
  <c r="P8" i="4" s="1"/>
  <c r="O5" i="4"/>
  <c r="O13" i="4"/>
  <c r="R13" i="4" s="1"/>
  <c r="O21" i="4"/>
  <c r="R21" i="4" s="1"/>
  <c r="N8" i="4"/>
  <c r="Q8" i="4" s="1"/>
  <c r="N16" i="4"/>
  <c r="Q16" i="4" s="1"/>
  <c r="N3" i="4"/>
  <c r="O6" i="4"/>
  <c r="S6" i="4" s="1"/>
  <c r="N17" i="4"/>
  <c r="Q17" i="4" s="1"/>
  <c r="M12" i="4"/>
  <c r="P12" i="4" s="1"/>
  <c r="O15" i="4"/>
  <c r="S15" i="4" s="1"/>
  <c r="N18" i="4"/>
  <c r="Q18" i="4" s="1"/>
  <c r="M13" i="4"/>
  <c r="P13" i="4" s="1"/>
  <c r="O8" i="4"/>
  <c r="N19" i="4"/>
  <c r="Q19" i="4" s="1"/>
  <c r="M22" i="4"/>
  <c r="P22" i="4" s="1"/>
  <c r="O9" i="4"/>
  <c r="N4" i="4"/>
  <c r="Q4" i="4" s="1"/>
  <c r="M7" i="4"/>
  <c r="P7" i="4" s="1"/>
  <c r="N5" i="4"/>
  <c r="Q5" i="4" s="1"/>
  <c r="N13" i="4"/>
  <c r="Q13" i="4" s="1"/>
  <c r="M16" i="4"/>
  <c r="P16" i="4" s="1"/>
  <c r="M10" i="4"/>
  <c r="P10" i="4" s="1"/>
  <c r="R6" i="4"/>
  <c r="R20" i="4"/>
  <c r="R19" i="4"/>
  <c r="S8" i="4"/>
  <c r="R8" i="4"/>
  <c r="S22" i="4"/>
  <c r="R22" i="4"/>
  <c r="R17" i="4"/>
  <c r="S17" i="4"/>
  <c r="S11" i="4"/>
  <c r="R11" i="4"/>
  <c r="S21" i="4"/>
  <c r="R3" i="1"/>
  <c r="S3" i="1"/>
  <c r="R20" i="1"/>
  <c r="S20" i="1"/>
  <c r="R8" i="1" l="1"/>
  <c r="S12" i="1"/>
  <c r="E30" i="1"/>
  <c r="S10" i="1"/>
  <c r="B44" i="1"/>
  <c r="B58" i="1" s="1"/>
  <c r="B43" i="1"/>
  <c r="B59" i="1" s="1"/>
  <c r="R13" i="1"/>
  <c r="R23" i="1"/>
  <c r="E44" i="1"/>
  <c r="E43" i="1"/>
  <c r="S16" i="1"/>
  <c r="R4" i="1"/>
  <c r="S6" i="1"/>
  <c r="E32" i="1"/>
  <c r="E33" i="1"/>
  <c r="S18" i="1"/>
  <c r="S14" i="1"/>
  <c r="S22" i="1"/>
  <c r="R17" i="1"/>
  <c r="R11" i="1"/>
  <c r="R21" i="1"/>
  <c r="R9" i="1"/>
  <c r="R19" i="1"/>
  <c r="S7" i="1"/>
  <c r="R7" i="1"/>
  <c r="R5" i="1"/>
  <c r="S5" i="1"/>
  <c r="R15" i="1"/>
  <c r="B31" i="1"/>
  <c r="B27" i="1"/>
  <c r="R12" i="4"/>
  <c r="R15" i="4"/>
  <c r="S4" i="4"/>
  <c r="R4" i="4"/>
  <c r="R5" i="4"/>
  <c r="S5" i="4"/>
  <c r="S16" i="4"/>
  <c r="R14" i="4"/>
  <c r="R9" i="4"/>
  <c r="S9" i="4"/>
  <c r="R10" i="4"/>
  <c r="S13" i="4"/>
  <c r="S7" i="4"/>
  <c r="R7" i="4"/>
  <c r="R23" i="4"/>
  <c r="S23" i="4"/>
  <c r="S18" i="4"/>
  <c r="S3" i="4"/>
  <c r="B30" i="1" l="1"/>
  <c r="B33" i="1"/>
  <c r="B32" i="1"/>
</calcChain>
</file>

<file path=xl/sharedStrings.xml><?xml version="1.0" encoding="utf-8"?>
<sst xmlns="http://schemas.openxmlformats.org/spreadsheetml/2006/main" count="425" uniqueCount="251">
  <si>
    <t>KROUCENÍ</t>
  </si>
  <si>
    <t>L =</t>
  </si>
  <si>
    <t>e =</t>
  </si>
  <si>
    <t>N/m</t>
  </si>
  <si>
    <t>m</t>
  </si>
  <si>
    <t>Nm/m</t>
  </si>
  <si>
    <t xml:space="preserve">x = </t>
  </si>
  <si>
    <r>
      <t>m</t>
    </r>
    <r>
      <rPr>
        <i/>
        <vertAlign val="subscript"/>
        <sz val="11"/>
        <color theme="1"/>
        <rFont val="Calibri"/>
        <family val="2"/>
        <charset val="238"/>
        <scheme val="minor"/>
      </rPr>
      <t>x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</si>
  <si>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t xml:space="preserve">G = </t>
  </si>
  <si>
    <t>GPa</t>
  </si>
  <si>
    <t>E=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</si>
  <si>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4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</si>
  <si>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6</t>
    </r>
  </si>
  <si>
    <t>ψ =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</si>
  <si>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</si>
  <si>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t>Přibližný výpočet</t>
  </si>
  <si>
    <t>α =</t>
  </si>
  <si>
    <t>β =</t>
  </si>
  <si>
    <t>κ =</t>
  </si>
  <si>
    <t>Nm</t>
  </si>
  <si>
    <t>N</t>
  </si>
  <si>
    <t>B =</t>
  </si>
  <si>
    <t>uprostřed</t>
  </si>
  <si>
    <r>
      <t>Nm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</si>
  <si>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T</t>
    </r>
    <r>
      <rPr>
        <i/>
        <vertAlign val="subscript"/>
        <sz val="11"/>
        <color theme="1"/>
        <rFont val="Calibri"/>
        <family val="2"/>
        <charset val="238"/>
        <scheme val="minor"/>
      </rPr>
      <t>ω</t>
    </r>
    <r>
      <rPr>
        <i/>
        <sz val="11"/>
        <color theme="1"/>
        <rFont val="Calibri"/>
        <family val="2"/>
        <charset val="238"/>
        <scheme val="minor"/>
      </rPr>
      <t xml:space="preserve"> = </t>
    </r>
  </si>
  <si>
    <r>
      <t>T</t>
    </r>
    <r>
      <rPr>
        <i/>
        <vertAlign val="subscript"/>
        <sz val="11"/>
        <color theme="1"/>
        <rFont val="Calibri"/>
        <family val="2"/>
        <charset val="238"/>
        <scheme val="minor"/>
      </rPr>
      <t>t</t>
    </r>
    <r>
      <rPr>
        <i/>
        <sz val="11"/>
        <color theme="1"/>
        <rFont val="Calibri"/>
        <family val="2"/>
        <charset val="238"/>
        <scheme val="minor"/>
      </rPr>
      <t xml:space="preserve"> = </t>
    </r>
  </si>
  <si>
    <t>Přesný výpočet</t>
  </si>
  <si>
    <r>
      <t>σ</t>
    </r>
    <r>
      <rPr>
        <i/>
        <vertAlign val="subscript"/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 xml:space="preserve"> =</t>
    </r>
  </si>
  <si>
    <r>
      <t>τ</t>
    </r>
    <r>
      <rPr>
        <i/>
        <vertAlign val="subscript"/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 xml:space="preserve"> =</t>
    </r>
  </si>
  <si>
    <t>MPa</t>
  </si>
  <si>
    <t>ω =</t>
  </si>
  <si>
    <r>
      <t>I</t>
    </r>
    <r>
      <rPr>
        <i/>
        <vertAlign val="subscript"/>
        <sz val="11"/>
        <color theme="1"/>
        <rFont val="Calibri"/>
        <family val="2"/>
        <charset val="238"/>
        <scheme val="minor"/>
      </rPr>
      <t>t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</si>
  <si>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r>
      <t>I</t>
    </r>
    <r>
      <rPr>
        <i/>
        <vertAlign val="subscript"/>
        <sz val="11"/>
        <color theme="1"/>
        <rFont val="Calibri"/>
        <family val="2"/>
        <charset val="238"/>
        <scheme val="minor"/>
      </rPr>
      <t>w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</si>
  <si>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t>b =</t>
  </si>
  <si>
    <t>h =</t>
  </si>
  <si>
    <r>
      <t>t</t>
    </r>
    <r>
      <rPr>
        <i/>
        <vertAlign val="subscript"/>
        <sz val="11"/>
        <color theme="1"/>
        <rFont val="Calibri"/>
        <family val="2"/>
        <charset val="238"/>
      </rPr>
      <t>f</t>
    </r>
    <r>
      <rPr>
        <i/>
        <sz val="11"/>
        <color theme="1"/>
        <rFont val="Calibri"/>
        <family val="2"/>
        <charset val="238"/>
      </rPr>
      <t xml:space="preserve"> = </t>
    </r>
  </si>
  <si>
    <r>
      <t>t</t>
    </r>
    <r>
      <rPr>
        <i/>
        <vertAlign val="subscript"/>
        <sz val="11"/>
        <color theme="1"/>
        <rFont val="Calibri"/>
        <family val="2"/>
        <charset val="238"/>
      </rPr>
      <t>w</t>
    </r>
    <r>
      <rPr>
        <i/>
        <sz val="11"/>
        <color theme="1"/>
        <rFont val="Calibri"/>
        <family val="2"/>
        <charset val="238"/>
      </rPr>
      <t xml:space="preserve"> = 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</si>
  <si>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</si>
  <si>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τ</t>
    </r>
    <r>
      <rPr>
        <i/>
        <vertAlign val="subscript"/>
        <sz val="11"/>
        <color theme="1"/>
        <rFont val="Calibri"/>
        <family val="2"/>
        <charset val="238"/>
        <scheme val="minor"/>
      </rPr>
      <t>t,f</t>
    </r>
    <r>
      <rPr>
        <i/>
        <sz val="11"/>
        <color theme="1"/>
        <rFont val="Calibri"/>
        <family val="2"/>
        <charset val="238"/>
        <scheme val="minor"/>
      </rPr>
      <t xml:space="preserve"> = </t>
    </r>
  </si>
  <si>
    <r>
      <t>τ</t>
    </r>
    <r>
      <rPr>
        <i/>
        <vertAlign val="subscript"/>
        <sz val="11"/>
        <color theme="1"/>
        <rFont val="Calibri"/>
        <family val="2"/>
        <charset val="238"/>
        <scheme val="minor"/>
      </rPr>
      <t>t,w</t>
    </r>
    <r>
      <rPr>
        <i/>
        <sz val="11"/>
        <color theme="1"/>
        <rFont val="Calibri"/>
        <family val="2"/>
        <charset val="238"/>
        <scheme val="minor"/>
      </rPr>
      <t xml:space="preserve"> = </t>
    </r>
  </si>
  <si>
    <r>
      <t>S</t>
    </r>
    <r>
      <rPr>
        <i/>
        <vertAlign val="subscript"/>
        <sz val="11"/>
        <color theme="1"/>
        <rFont val="Calibri"/>
        <family val="2"/>
        <charset val="238"/>
      </rPr>
      <t>ω,max</t>
    </r>
    <r>
      <rPr>
        <i/>
        <sz val="11"/>
        <color theme="1"/>
        <rFont val="Calibri"/>
        <family val="2"/>
        <charset val="238"/>
      </rPr>
      <t xml:space="preserve"> =</t>
    </r>
  </si>
  <si>
    <r>
      <t>W</t>
    </r>
    <r>
      <rPr>
        <i/>
        <vertAlign val="subscript"/>
        <sz val="11"/>
        <color theme="1"/>
        <rFont val="Calibri"/>
        <family val="2"/>
        <charset val="238"/>
      </rPr>
      <t>y</t>
    </r>
    <r>
      <rPr>
        <i/>
        <sz val="11"/>
        <color theme="1"/>
        <rFont val="Calibri"/>
        <family val="2"/>
        <charset val="238"/>
      </rPr>
      <t xml:space="preserve"> = 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</si>
  <si>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</si>
  <si>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A</t>
    </r>
    <r>
      <rPr>
        <i/>
        <vertAlign val="subscript"/>
        <sz val="11"/>
        <color theme="1"/>
        <rFont val="Calibri"/>
        <family val="2"/>
        <charset val="238"/>
      </rPr>
      <t>v</t>
    </r>
    <r>
      <rPr>
        <i/>
        <sz val="11"/>
        <color theme="1"/>
        <rFont val="Calibri"/>
        <family val="2"/>
        <charset val="238"/>
      </rPr>
      <t xml:space="preserve"> = </t>
    </r>
  </si>
  <si>
    <t>SMYK</t>
  </si>
  <si>
    <t>OHYB</t>
  </si>
  <si>
    <t>SOUČET NAPĚTÍ</t>
  </si>
  <si>
    <t>σ =</t>
  </si>
  <si>
    <r>
      <t>τ</t>
    </r>
    <r>
      <rPr>
        <i/>
        <vertAlign val="subscript"/>
        <sz val="11"/>
        <color theme="1"/>
        <rFont val="Calibri"/>
        <family val="2"/>
        <charset val="238"/>
      </rPr>
      <t>w</t>
    </r>
    <r>
      <rPr>
        <i/>
        <sz val="11"/>
        <color theme="1"/>
        <rFont val="Calibri"/>
        <family val="2"/>
        <charset val="238"/>
      </rPr>
      <t xml:space="preserve"> =</t>
    </r>
  </si>
  <si>
    <t>nad podporou na stojině</t>
  </si>
  <si>
    <t>nad podporou na pásnici</t>
  </si>
  <si>
    <r>
      <t>τ</t>
    </r>
    <r>
      <rPr>
        <i/>
        <vertAlign val="subscript"/>
        <sz val="11"/>
        <color theme="1"/>
        <rFont val="Calibri"/>
        <family val="2"/>
        <charset val="238"/>
      </rPr>
      <t>f</t>
    </r>
    <r>
      <rPr>
        <i/>
        <sz val="11"/>
        <color theme="1"/>
        <rFont val="Calibri"/>
        <family val="2"/>
        <charset val="238"/>
      </rPr>
      <t xml:space="preserve"> =</t>
    </r>
  </si>
  <si>
    <t>HEB400</t>
  </si>
  <si>
    <t>T =</t>
  </si>
  <si>
    <t>kNm</t>
  </si>
  <si>
    <t>a =</t>
  </si>
  <si>
    <t>mm</t>
  </si>
  <si>
    <t>t =</t>
  </si>
  <si>
    <t>A =</t>
  </si>
  <si>
    <t>mm2</t>
  </si>
  <si>
    <t>Omega =</t>
  </si>
  <si>
    <t>tau_t =</t>
  </si>
  <si>
    <t>It =</t>
  </si>
  <si>
    <t>mm3</t>
  </si>
  <si>
    <t>Uzavřený</t>
  </si>
  <si>
    <t>Otevřený</t>
  </si>
  <si>
    <t>Mx =</t>
  </si>
  <si>
    <r>
      <t>K</t>
    </r>
    <r>
      <rPr>
        <i/>
        <vertAlign val="subscript"/>
        <sz val="11"/>
        <color theme="1"/>
        <rFont val="Calibri"/>
        <family val="2"/>
      </rPr>
      <t>t</t>
    </r>
    <r>
      <rPr>
        <i/>
        <sz val="11"/>
        <color theme="1"/>
        <rFont val="Calibri"/>
        <family val="2"/>
        <charset val="238"/>
      </rPr>
      <t xml:space="preserve"> =</t>
    </r>
  </si>
  <si>
    <r>
      <t>τ</t>
    </r>
    <r>
      <rPr>
        <i/>
        <vertAlign val="subscript"/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 xml:space="preserve"> </t>
    </r>
  </si>
  <si>
    <r>
      <t>τ</t>
    </r>
    <r>
      <rPr>
        <i/>
        <vertAlign val="subscript"/>
        <sz val="11"/>
        <color theme="1"/>
        <rFont val="Calibri"/>
        <family val="2"/>
        <charset val="238"/>
        <scheme val="minor"/>
      </rPr>
      <t>t,f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</si>
  <si>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>τ</t>
    </r>
    <r>
      <rPr>
        <i/>
        <vertAlign val="subscript"/>
        <sz val="11"/>
        <color theme="1"/>
        <rFont val="Calibri"/>
        <family val="2"/>
        <charset val="238"/>
        <scheme val="minor"/>
      </rPr>
      <t>t,w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</si>
  <si>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>σ</t>
    </r>
    <r>
      <rPr>
        <i/>
        <vertAlign val="subscript"/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 xml:space="preserve"> </t>
    </r>
  </si>
  <si>
    <t>B</t>
  </si>
  <si>
    <r>
      <t>T</t>
    </r>
    <r>
      <rPr>
        <i/>
        <vertAlign val="subscript"/>
        <sz val="11"/>
        <color theme="1"/>
        <rFont val="Calibri"/>
        <family val="2"/>
        <charset val="238"/>
        <scheme val="minor"/>
      </rPr>
      <t>ω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</si>
  <si>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>T</t>
    </r>
    <r>
      <rPr>
        <i/>
        <vertAlign val="subscript"/>
        <sz val="11"/>
        <color theme="1"/>
        <rFont val="Calibri"/>
        <family val="2"/>
        <charset val="238"/>
        <scheme val="minor"/>
      </rPr>
      <t>t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</si>
  <si>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Header</t>
  </si>
  <si>
    <t>b</t>
  </si>
  <si>
    <t>h</t>
  </si>
  <si>
    <t>tf</t>
  </si>
  <si>
    <t>tw</t>
  </si>
  <si>
    <t>rw</t>
  </si>
  <si>
    <t>A</t>
  </si>
  <si>
    <t>ry</t>
  </si>
  <si>
    <t>rz</t>
  </si>
  <si>
    <t>Iy</t>
  </si>
  <si>
    <t>Iz</t>
  </si>
  <si>
    <t>Wely</t>
  </si>
  <si>
    <t>Welz</t>
  </si>
  <si>
    <t>Iyz</t>
  </si>
  <si>
    <t>It</t>
  </si>
  <si>
    <t>y0</t>
  </si>
  <si>
    <t>z0</t>
  </si>
  <si>
    <t>Wply</t>
  </si>
  <si>
    <t>Wplz</t>
  </si>
  <si>
    <t>Iw</t>
  </si>
  <si>
    <t>Avy</t>
  </si>
  <si>
    <t>Avz</t>
  </si>
  <si>
    <t>Unit</t>
  </si>
  <si>
    <t>m2</t>
  </si>
  <si>
    <t>m4</t>
  </si>
  <si>
    <t>m3</t>
  </si>
  <si>
    <t>m6</t>
  </si>
  <si>
    <t>UnitCoeff</t>
  </si>
  <si>
    <t>IPE80</t>
  </si>
  <si>
    <t>IPE100</t>
  </si>
  <si>
    <t>IPE120A</t>
  </si>
  <si>
    <t>IPE120</t>
  </si>
  <si>
    <t>IPE140</t>
  </si>
  <si>
    <t>IPE140R</t>
  </si>
  <si>
    <t>IPE140A</t>
  </si>
  <si>
    <t>IPE160A</t>
  </si>
  <si>
    <t>IPE160R</t>
  </si>
  <si>
    <t>IPE160</t>
  </si>
  <si>
    <t>IPE180</t>
  </si>
  <si>
    <t>IPE180O</t>
  </si>
  <si>
    <t>IPE180R</t>
  </si>
  <si>
    <t>IPE180A</t>
  </si>
  <si>
    <t>IPE200</t>
  </si>
  <si>
    <t>IPE200O</t>
  </si>
  <si>
    <t>IPE200R</t>
  </si>
  <si>
    <t>IPE200A</t>
  </si>
  <si>
    <t>IPE220</t>
  </si>
  <si>
    <t>IPE220O</t>
  </si>
  <si>
    <t>IPE220R</t>
  </si>
  <si>
    <t>IPE220A</t>
  </si>
  <si>
    <t>IPE240A</t>
  </si>
  <si>
    <t>IPE240</t>
  </si>
  <si>
    <t>IPE240R</t>
  </si>
  <si>
    <t>IPE240O</t>
  </si>
  <si>
    <t>IPE270A</t>
  </si>
  <si>
    <t>IPE270</t>
  </si>
  <si>
    <t>IPE270R</t>
  </si>
  <si>
    <t>IPE270O</t>
  </si>
  <si>
    <t>IPE300A</t>
  </si>
  <si>
    <t>IPE300</t>
  </si>
  <si>
    <t>IPE300R</t>
  </si>
  <si>
    <t>IPE300O</t>
  </si>
  <si>
    <t>IPE330A</t>
  </si>
  <si>
    <t>IPE330</t>
  </si>
  <si>
    <t>IPE330R</t>
  </si>
  <si>
    <t>IPE330O</t>
  </si>
  <si>
    <t>IPE360A</t>
  </si>
  <si>
    <t>IPE360O</t>
  </si>
  <si>
    <t>IPE360R</t>
  </si>
  <si>
    <t>IPE360</t>
  </si>
  <si>
    <t>IPE400A</t>
  </si>
  <si>
    <t>IPE400O</t>
  </si>
  <si>
    <t>IPE400R</t>
  </si>
  <si>
    <t>IPE400</t>
  </si>
  <si>
    <t>IPE400V</t>
  </si>
  <si>
    <t>IPE450</t>
  </si>
  <si>
    <t>IPE450O</t>
  </si>
  <si>
    <t>IPE450A</t>
  </si>
  <si>
    <t>IPE450V</t>
  </si>
  <si>
    <t>IPE450R</t>
  </si>
  <si>
    <t>IPE500A</t>
  </si>
  <si>
    <t>IPE500</t>
  </si>
  <si>
    <t>IPE500R</t>
  </si>
  <si>
    <t>IPE500V</t>
  </si>
  <si>
    <t>IPE500O</t>
  </si>
  <si>
    <t>IPE550A</t>
  </si>
  <si>
    <t>IPE550</t>
  </si>
  <si>
    <t>IPE550R</t>
  </si>
  <si>
    <t>IPE550V</t>
  </si>
  <si>
    <t>IPE550O</t>
  </si>
  <si>
    <t>IPE600</t>
  </si>
  <si>
    <t>IPE600O</t>
  </si>
  <si>
    <t>IPE600R</t>
  </si>
  <si>
    <t>IPE600V</t>
  </si>
  <si>
    <t>IPE600A</t>
  </si>
  <si>
    <t>IPE750X137</t>
  </si>
  <si>
    <t>IPE750X147</t>
  </si>
  <si>
    <t>IPE750X173</t>
  </si>
  <si>
    <t>IPE750X196</t>
  </si>
  <si>
    <t>E</t>
  </si>
  <si>
    <t>G</t>
  </si>
  <si>
    <t>Poisson</t>
  </si>
  <si>
    <t>UnitMass</t>
  </si>
  <si>
    <t>SpecificHeat</t>
  </si>
  <si>
    <t>ThermalExpansion</t>
  </si>
  <si>
    <t>ThermalConductivity</t>
  </si>
  <si>
    <t>fu</t>
  </si>
  <si>
    <t>fu40</t>
  </si>
  <si>
    <t>fy</t>
  </si>
  <si>
    <t>fy40</t>
  </si>
  <si>
    <t>GammaOVfy</t>
  </si>
  <si>
    <t>GammaOVfu</t>
  </si>
  <si>
    <t>beta_w</t>
  </si>
  <si>
    <t>-</t>
  </si>
  <si>
    <t>kg/m3</t>
  </si>
  <si>
    <t>K</t>
  </si>
  <si>
    <t>10e-6/K</t>
  </si>
  <si>
    <t>S 235</t>
  </si>
  <si>
    <t>S 275</t>
  </si>
  <si>
    <t>S 355</t>
  </si>
  <si>
    <t>S 450</t>
  </si>
  <si>
    <t>S 275 N/NL</t>
  </si>
  <si>
    <t>S 355 N/NL</t>
  </si>
  <si>
    <t>S 420 N/NL</t>
  </si>
  <si>
    <t>S 460 N/NL</t>
  </si>
  <si>
    <t>S 275 M/ML</t>
  </si>
  <si>
    <t>S 355 M/ML</t>
  </si>
  <si>
    <t>S 420 M/ML</t>
  </si>
  <si>
    <t>S 460 M/ML</t>
  </si>
  <si>
    <t>S 235 W</t>
  </si>
  <si>
    <t>S 355 W</t>
  </si>
  <si>
    <t>S 235 H</t>
  </si>
  <si>
    <t>S 275 H</t>
  </si>
  <si>
    <t>S 355 H</t>
  </si>
  <si>
    <t>S 275 NH/NLH</t>
  </si>
  <si>
    <t>S 355 NH/NLH</t>
  </si>
  <si>
    <t>S 420 NH/NLH</t>
  </si>
  <si>
    <t>S 460 NH/NLH</t>
  </si>
  <si>
    <t>S 275 MH/MLH</t>
  </si>
  <si>
    <t>S 355 MH/MLH</t>
  </si>
  <si>
    <t>S 420 MH/MLH</t>
  </si>
  <si>
    <t>S 460 MH/MLH</t>
  </si>
  <si>
    <t>S 460 Q/QL/QL1</t>
  </si>
  <si>
    <t>B [Nm2]</t>
  </si>
  <si>
    <r>
      <t>T</t>
    </r>
    <r>
      <rPr>
        <i/>
        <vertAlign val="subscript"/>
        <sz val="11"/>
        <color theme="1"/>
        <rFont val="Calibri"/>
        <family val="2"/>
        <charset val="238"/>
        <scheme val="minor"/>
      </rPr>
      <t>ω</t>
    </r>
    <r>
      <rPr>
        <i/>
        <sz val="11"/>
        <color theme="1"/>
        <rFont val="Calibri"/>
        <family val="2"/>
        <charset val="238"/>
        <scheme val="minor"/>
      </rPr>
      <t xml:space="preserve"> [Nm]</t>
    </r>
  </si>
  <si>
    <r>
      <t>T</t>
    </r>
    <r>
      <rPr>
        <i/>
        <vertAlign val="subscript"/>
        <sz val="11"/>
        <color theme="1"/>
        <rFont val="Calibri"/>
        <family val="2"/>
        <charset val="238"/>
        <scheme val="minor"/>
      </rPr>
      <t>t</t>
    </r>
    <r>
      <rPr>
        <i/>
        <sz val="11"/>
        <color theme="1"/>
        <rFont val="Calibri"/>
        <family val="2"/>
        <charset val="238"/>
        <scheme val="minor"/>
      </rPr>
      <t xml:space="preserve"> [Nm] </t>
    </r>
  </si>
  <si>
    <r>
      <t>σ</t>
    </r>
    <r>
      <rPr>
        <i/>
        <vertAlign val="subscript"/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 xml:space="preserve"> [MPa]</t>
    </r>
  </si>
  <si>
    <r>
      <t>τ</t>
    </r>
    <r>
      <rPr>
        <i/>
        <vertAlign val="subscript"/>
        <sz val="11"/>
        <color theme="1"/>
        <rFont val="Calibri"/>
        <family val="2"/>
        <charset val="238"/>
      </rPr>
      <t>ω</t>
    </r>
    <r>
      <rPr>
        <i/>
        <sz val="11"/>
        <color theme="1"/>
        <rFont val="Calibri"/>
        <family val="2"/>
        <charset val="238"/>
      </rPr>
      <t xml:space="preserve"> [MPa]</t>
    </r>
  </si>
  <si>
    <r>
      <t>τ</t>
    </r>
    <r>
      <rPr>
        <i/>
        <vertAlign val="subscript"/>
        <sz val="11"/>
        <color theme="1"/>
        <rFont val="Calibri"/>
        <family val="2"/>
        <charset val="238"/>
        <scheme val="minor"/>
      </rPr>
      <t>t,f</t>
    </r>
    <r>
      <rPr>
        <i/>
        <sz val="11"/>
        <color theme="1"/>
        <rFont val="Calibri"/>
        <family val="2"/>
        <charset val="238"/>
        <scheme val="minor"/>
      </rPr>
      <t xml:space="preserve"> [MPa] </t>
    </r>
  </si>
  <si>
    <r>
      <t>τ</t>
    </r>
    <r>
      <rPr>
        <i/>
        <vertAlign val="subscript"/>
        <sz val="11"/>
        <color theme="1"/>
        <rFont val="Calibri"/>
        <family val="2"/>
        <charset val="238"/>
        <scheme val="minor"/>
      </rPr>
      <t>t,w</t>
    </r>
    <r>
      <rPr>
        <i/>
        <sz val="11"/>
        <color theme="1"/>
        <rFont val="Calibri"/>
        <family val="2"/>
        <charset val="238"/>
        <scheme val="minor"/>
      </rPr>
      <t xml:space="preserve"> [MPa] </t>
    </r>
  </si>
  <si>
    <r>
      <t>M</t>
    </r>
    <r>
      <rPr>
        <i/>
        <vertAlign val="subscript"/>
        <sz val="11"/>
        <color theme="1"/>
        <rFont val="Calibri"/>
        <family val="2"/>
        <scheme val="minor"/>
      </rPr>
      <t>y</t>
    </r>
    <r>
      <rPr>
        <i/>
        <sz val="11"/>
        <color theme="1"/>
        <rFont val="Calibri"/>
        <family val="2"/>
        <charset val="238"/>
        <scheme val="minor"/>
      </rPr>
      <t xml:space="preserve"> [Nm]</t>
    </r>
  </si>
  <si>
    <r>
      <t>σ</t>
    </r>
    <r>
      <rPr>
        <i/>
        <vertAlign val="subscript"/>
        <sz val="11"/>
        <color theme="1"/>
        <rFont val="Calibri"/>
        <family val="2"/>
        <charset val="238"/>
      </rPr>
      <t>my</t>
    </r>
    <r>
      <rPr>
        <i/>
        <sz val="11"/>
        <color theme="1"/>
        <rFont val="Calibri"/>
        <family val="2"/>
        <charset val="238"/>
      </rPr>
      <t xml:space="preserve"> [MPa]</t>
    </r>
  </si>
  <si>
    <t>Ohyb</t>
  </si>
  <si>
    <t>Kroucení</t>
  </si>
  <si>
    <t>Nad podporou</t>
  </si>
  <si>
    <t>V poli</t>
  </si>
  <si>
    <r>
      <t>q</t>
    </r>
    <r>
      <rPr>
        <i/>
        <vertAlign val="subscript"/>
        <sz val="11"/>
        <color theme="1"/>
        <rFont val="Calibri"/>
        <family val="2"/>
        <scheme val="minor"/>
      </rPr>
      <t>y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</si>
  <si>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z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</si>
  <si>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r>
      <t>A</t>
    </r>
    <r>
      <rPr>
        <i/>
        <vertAlign val="subscript"/>
        <sz val="11"/>
        <color theme="1"/>
        <rFont val="Calibri"/>
        <family val="2"/>
        <charset val="238"/>
      </rPr>
      <t>vz</t>
    </r>
    <r>
      <rPr>
        <i/>
        <sz val="11"/>
        <color theme="1"/>
        <rFont val="Calibri"/>
        <family val="2"/>
        <charset val="238"/>
      </rPr>
      <t xml:space="preserve"> = </t>
    </r>
  </si>
  <si>
    <r>
      <t>A</t>
    </r>
    <r>
      <rPr>
        <i/>
        <vertAlign val="subscript"/>
        <sz val="11"/>
        <color theme="1"/>
        <rFont val="Calibri"/>
        <family val="2"/>
        <charset val="238"/>
      </rPr>
      <t>vy</t>
    </r>
    <r>
      <rPr>
        <i/>
        <sz val="11"/>
        <color theme="1"/>
        <rFont val="Calibri"/>
        <family val="2"/>
        <charset val="238"/>
      </rPr>
      <t xml:space="preserve"> = </t>
    </r>
  </si>
  <si>
    <r>
      <t>τ</t>
    </r>
    <r>
      <rPr>
        <i/>
        <vertAlign val="subscript"/>
        <sz val="11"/>
        <color theme="1"/>
        <rFont val="Calibri"/>
        <family val="2"/>
        <charset val="238"/>
      </rPr>
      <t>vz</t>
    </r>
    <r>
      <rPr>
        <i/>
        <sz val="11"/>
        <color theme="1"/>
        <rFont val="Calibri"/>
        <family val="2"/>
        <charset val="238"/>
      </rPr>
      <t xml:space="preserve"> =</t>
    </r>
  </si>
  <si>
    <r>
      <t>τ</t>
    </r>
    <r>
      <rPr>
        <i/>
        <vertAlign val="subscript"/>
        <sz val="11"/>
        <color theme="1"/>
        <rFont val="Calibri"/>
        <family val="2"/>
        <charset val="238"/>
      </rPr>
      <t>vy</t>
    </r>
    <r>
      <rPr>
        <i/>
        <sz val="11"/>
        <color theme="1"/>
        <rFont val="Calibri"/>
        <family val="2"/>
        <charset val="238"/>
      </rPr>
      <t xml:space="preserve"> =</t>
    </r>
  </si>
  <si>
    <r>
      <t>M</t>
    </r>
    <r>
      <rPr>
        <i/>
        <vertAlign val="subscript"/>
        <sz val="11"/>
        <color theme="1"/>
        <rFont val="Calibri"/>
        <family val="2"/>
        <scheme val="minor"/>
      </rPr>
      <t>y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</si>
  <si>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r>
      <t>V</t>
    </r>
    <r>
      <rPr>
        <i/>
        <vertAlign val="subscript"/>
        <sz val="11"/>
        <color theme="1"/>
        <rFont val="Calibri"/>
        <family val="2"/>
        <scheme val="minor"/>
      </rPr>
      <t>z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</si>
  <si>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r>
      <t>V</t>
    </r>
    <r>
      <rPr>
        <i/>
        <vertAlign val="subscript"/>
        <sz val="11"/>
        <color theme="1"/>
        <rFont val="Calibri"/>
        <family val="2"/>
        <scheme val="minor"/>
      </rPr>
      <t>y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</si>
  <si>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r>
      <t>M</t>
    </r>
    <r>
      <rPr>
        <i/>
        <vertAlign val="subscript"/>
        <sz val="11"/>
        <color theme="1"/>
        <rFont val="Calibri"/>
        <family val="2"/>
        <scheme val="minor"/>
      </rPr>
      <t>z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</si>
  <si>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r>
      <t>σ</t>
    </r>
    <r>
      <rPr>
        <i/>
        <vertAlign val="subscript"/>
        <sz val="11"/>
        <color theme="1"/>
        <rFont val="Calibri"/>
        <family val="2"/>
        <charset val="238"/>
      </rPr>
      <t>by</t>
    </r>
    <r>
      <rPr>
        <i/>
        <sz val="11"/>
        <color theme="1"/>
        <rFont val="Calibri"/>
        <family val="2"/>
        <charset val="238"/>
      </rPr>
      <t xml:space="preserve"> =</t>
    </r>
  </si>
  <si>
    <r>
      <t>σ</t>
    </r>
    <r>
      <rPr>
        <i/>
        <vertAlign val="subscript"/>
        <sz val="11"/>
        <color theme="1"/>
        <rFont val="Calibri"/>
        <family val="2"/>
        <charset val="238"/>
      </rPr>
      <t>bz</t>
    </r>
    <r>
      <rPr>
        <i/>
        <sz val="11"/>
        <color theme="1"/>
        <rFont val="Calibri"/>
        <family val="2"/>
        <charset val="238"/>
      </rPr>
      <t xml:space="preserve"> =</t>
    </r>
  </si>
  <si>
    <r>
      <t>W</t>
    </r>
    <r>
      <rPr>
        <i/>
        <vertAlign val="subscript"/>
        <sz val="11"/>
        <color theme="1"/>
        <rFont val="Calibri"/>
        <family val="2"/>
        <charset val="238"/>
      </rPr>
      <t>z</t>
    </r>
    <r>
      <rPr>
        <i/>
        <sz val="11"/>
        <color theme="1"/>
        <rFont val="Calibri"/>
        <family val="2"/>
        <charset val="238"/>
      </rPr>
      <t xml:space="preserve"> = </t>
    </r>
  </si>
  <si>
    <t>≤</t>
  </si>
  <si>
    <t>Zatížení</t>
  </si>
  <si>
    <t>Průřez</t>
  </si>
  <si>
    <t>Materiál</t>
  </si>
  <si>
    <r>
      <t>f</t>
    </r>
    <r>
      <rPr>
        <i/>
        <vertAlign val="subscript"/>
        <sz val="11"/>
        <color theme="1"/>
        <rFont val="Calibri"/>
        <family val="2"/>
        <scheme val="minor"/>
      </rPr>
      <t>y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</si>
  <si>
    <t>E =</t>
  </si>
  <si>
    <r>
      <t>γ</t>
    </r>
    <r>
      <rPr>
        <i/>
        <vertAlign val="subscript"/>
        <sz val="11"/>
        <color theme="1"/>
        <rFont val="Calibri"/>
        <family val="2"/>
        <scheme val="minor"/>
      </rPr>
      <t>M0</t>
    </r>
    <r>
      <rPr>
        <i/>
        <sz val="11"/>
        <color theme="1"/>
        <rFont val="Calibri"/>
        <family val="2"/>
        <charset val="238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</si>
</sst>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i/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</font>
    <font>
      <i/>
      <vertAlign val="subscript"/>
      <sz val="11"/>
      <color theme="1"/>
      <name val="Calibri"/>
      <family val="2"/>
      <charset val="238"/>
    </font>
    <font>
      <i/>
      <vertAlign val="subscript"/>
      <sz val="11"/>
      <color theme="1"/>
      <name val="Calibri"/>
      <family val="2"/>
    </font>
    <font>
      <i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  <xf numFmtId="0" fontId="6" fillId="0" borderId="0" xfId="0" applyFont="1"/>
    <xf numFmtId="11" fontId="0" fillId="2" borderId="0" xfId="0" applyNumberFormat="1" applyFill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1"/>
    <xf numFmtId="164" fontId="1" fillId="0" borderId="0" xfId="1" applyNumberFormat="1"/>
    <xf numFmtId="2" fontId="1" fillId="0" borderId="0" xfId="1" applyNumberFormat="1"/>
    <xf numFmtId="11" fontId="1" fillId="0" borderId="0" xfId="1" applyNumberFormat="1"/>
    <xf numFmtId="165" fontId="0" fillId="0" borderId="0" xfId="0" applyNumberFormat="1"/>
    <xf numFmtId="11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 xr:uid="{9703E7A4-7668-4E35-B2A5-B1DCB8EAB568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Forces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Kroucení!$M$2</c:f>
              <c:strCache>
                <c:ptCount val="1"/>
                <c:pt idx="0">
                  <c:v>B [Nm2]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Kroucení!$L$3:$L$23</c:f>
              <c:numCache>
                <c:formatCode>General</c:formatCode>
                <c:ptCount val="2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2.4000000000000004</c:v>
                </c:pt>
                <c:pt idx="7">
                  <c:v>2.8000000000000003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4.8000000000000007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</c:v>
                </c:pt>
                <c:pt idx="16">
                  <c:v>6.4</c:v>
                </c:pt>
                <c:pt idx="17">
                  <c:v>6.8000000000000007</c:v>
                </c:pt>
                <c:pt idx="18">
                  <c:v>7.2</c:v>
                </c:pt>
                <c:pt idx="19">
                  <c:v>7.6000000000000005</c:v>
                </c:pt>
                <c:pt idx="20">
                  <c:v>8</c:v>
                </c:pt>
              </c:numCache>
            </c:numRef>
          </c:xVal>
          <c:yVal>
            <c:numRef>
              <c:f>Kroucení!$M$3:$M$23</c:f>
              <c:numCache>
                <c:formatCode>0.00</c:formatCode>
                <c:ptCount val="21"/>
                <c:pt idx="0">
                  <c:v>0</c:v>
                </c:pt>
                <c:pt idx="1">
                  <c:v>69.915025956614755</c:v>
                </c:pt>
                <c:pt idx="2">
                  <c:v>114.09622724013546</c:v>
                </c:pt>
                <c:pt idx="3">
                  <c:v>142.0051787160746</c:v>
                </c:pt>
                <c:pt idx="4">
                  <c:v>159.61869011653965</c:v>
                </c:pt>
                <c:pt idx="5">
                  <c:v>170.70876292448304</c:v>
                </c:pt>
                <c:pt idx="6">
                  <c:v>177.65037905728141</c:v>
                </c:pt>
                <c:pt idx="7">
                  <c:v>181.93011241560004</c:v>
                </c:pt>
                <c:pt idx="8">
                  <c:v>184.46448442479155</c:v>
                </c:pt>
                <c:pt idx="9">
                  <c:v>185.79624063738501</c:v>
                </c:pt>
                <c:pt idx="10">
                  <c:v>186.21058178903286</c:v>
                </c:pt>
                <c:pt idx="11">
                  <c:v>185.79624063738501</c:v>
                </c:pt>
                <c:pt idx="12">
                  <c:v>184.46448442479155</c:v>
                </c:pt>
                <c:pt idx="13">
                  <c:v>181.93011241560004</c:v>
                </c:pt>
                <c:pt idx="14">
                  <c:v>177.65037905728138</c:v>
                </c:pt>
                <c:pt idx="15">
                  <c:v>170.70876292448304</c:v>
                </c:pt>
                <c:pt idx="16">
                  <c:v>159.61869011653965</c:v>
                </c:pt>
                <c:pt idx="17">
                  <c:v>142.00517871607454</c:v>
                </c:pt>
                <c:pt idx="18">
                  <c:v>114.09622724013546</c:v>
                </c:pt>
                <c:pt idx="19">
                  <c:v>69.915025956614755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95-4263-99C6-E7EBB4C40BB6}"/>
            </c:ext>
          </c:extLst>
        </c:ser>
        <c:ser>
          <c:idx val="1"/>
          <c:order val="1"/>
          <c:tx>
            <c:strRef>
              <c:f>Kroucení!$N$2</c:f>
              <c:strCache>
                <c:ptCount val="1"/>
                <c:pt idx="0">
                  <c:v>Tω [Nm]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Kroucení!$L$3:$L$23</c:f>
              <c:numCache>
                <c:formatCode>General</c:formatCode>
                <c:ptCount val="2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2.4000000000000004</c:v>
                </c:pt>
                <c:pt idx="7">
                  <c:v>2.8000000000000003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4.8000000000000007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</c:v>
                </c:pt>
                <c:pt idx="16">
                  <c:v>6.4</c:v>
                </c:pt>
                <c:pt idx="17">
                  <c:v>6.8000000000000007</c:v>
                </c:pt>
                <c:pt idx="18">
                  <c:v>7.2</c:v>
                </c:pt>
                <c:pt idx="19">
                  <c:v>7.6000000000000005</c:v>
                </c:pt>
                <c:pt idx="20">
                  <c:v>8</c:v>
                </c:pt>
              </c:numCache>
            </c:numRef>
          </c:xVal>
          <c:yVal>
            <c:numRef>
              <c:f>Kroucení!$N$3:$N$23</c:f>
              <c:numCache>
                <c:formatCode>0.00</c:formatCode>
                <c:ptCount val="21"/>
                <c:pt idx="0">
                  <c:v>217.94573408250858</c:v>
                </c:pt>
                <c:pt idx="1">
                  <c:v>137.73831316250127</c:v>
                </c:pt>
                <c:pt idx="2">
                  <c:v>87.028083898133616</c:v>
                </c:pt>
                <c:pt idx="3">
                  <c:v>54.955254869223488</c:v>
                </c:pt>
                <c:pt idx="4">
                  <c:v>34.651305886416182</c:v>
                </c:pt>
                <c:pt idx="5">
                  <c:v>21.768067869075217</c:v>
                </c:pt>
                <c:pt idx="6">
                  <c:v>13.546545645723597</c:v>
                </c:pt>
                <c:pt idx="7">
                  <c:v>8.2260684839036795</c:v>
                </c:pt>
                <c:pt idx="8">
                  <c:v>4.6672356537945383</c:v>
                </c:pt>
                <c:pt idx="9">
                  <c:v>2.1079093619975859</c:v>
                </c:pt>
                <c:pt idx="10">
                  <c:v>0</c:v>
                </c:pt>
                <c:pt idx="11">
                  <c:v>-2.1079093619975886</c:v>
                </c:pt>
                <c:pt idx="12">
                  <c:v>-4.6672356537945436</c:v>
                </c:pt>
                <c:pt idx="13">
                  <c:v>-8.2260684839036831</c:v>
                </c:pt>
                <c:pt idx="14">
                  <c:v>-13.546545645723613</c:v>
                </c:pt>
                <c:pt idx="15">
                  <c:v>-21.768067869075217</c:v>
                </c:pt>
                <c:pt idx="16">
                  <c:v>-34.651305886416196</c:v>
                </c:pt>
                <c:pt idx="17">
                  <c:v>-54.955254869223552</c:v>
                </c:pt>
                <c:pt idx="18">
                  <c:v>-87.028083898133616</c:v>
                </c:pt>
                <c:pt idx="19">
                  <c:v>-137.73831316250127</c:v>
                </c:pt>
                <c:pt idx="20">
                  <c:v>-217.94573408250858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95-4263-99C6-E7EBB4C40BB6}"/>
            </c:ext>
          </c:extLst>
        </c:ser>
        <c:ser>
          <c:idx val="2"/>
          <c:order val="2"/>
          <c:tx>
            <c:strRef>
              <c:f>Kroucení!$O$2</c:f>
              <c:strCache>
                <c:ptCount val="1"/>
                <c:pt idx="0">
                  <c:v>Tt [Nm]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Kroucení!$L$3:$L$23</c:f>
              <c:numCache>
                <c:formatCode>General</c:formatCode>
                <c:ptCount val="2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2.4000000000000004</c:v>
                </c:pt>
                <c:pt idx="7">
                  <c:v>2.8000000000000003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4.8000000000000007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</c:v>
                </c:pt>
                <c:pt idx="16">
                  <c:v>6.4</c:v>
                </c:pt>
                <c:pt idx="17">
                  <c:v>6.8000000000000007</c:v>
                </c:pt>
                <c:pt idx="18">
                  <c:v>7.2</c:v>
                </c:pt>
                <c:pt idx="19">
                  <c:v>7.6000000000000005</c:v>
                </c:pt>
                <c:pt idx="20">
                  <c:v>8</c:v>
                </c:pt>
              </c:numCache>
            </c:numRef>
          </c:xVal>
          <c:yVal>
            <c:numRef>
              <c:f>Kroucení!$O$3:$O$23</c:f>
              <c:numCache>
                <c:formatCode>0.00</c:formatCode>
                <c:ptCount val="21"/>
                <c:pt idx="0">
                  <c:v>782.05426591749142</c:v>
                </c:pt>
                <c:pt idx="1">
                  <c:v>762.2616868374987</c:v>
                </c:pt>
                <c:pt idx="2">
                  <c:v>712.97191610186644</c:v>
                </c:pt>
                <c:pt idx="3">
                  <c:v>645.04474513077639</c:v>
                </c:pt>
                <c:pt idx="4">
                  <c:v>565.34869411358375</c:v>
                </c:pt>
                <c:pt idx="5">
                  <c:v>478.23193213092475</c:v>
                </c:pt>
                <c:pt idx="6">
                  <c:v>386.45345435427629</c:v>
                </c:pt>
                <c:pt idx="7">
                  <c:v>291.77393151609624</c:v>
                </c:pt>
                <c:pt idx="8">
                  <c:v>195.33276434620538</c:v>
                </c:pt>
                <c:pt idx="9">
                  <c:v>97.892090638002387</c:v>
                </c:pt>
                <c:pt idx="10">
                  <c:v>0</c:v>
                </c:pt>
                <c:pt idx="11">
                  <c:v>-97.8920906380025</c:v>
                </c:pt>
                <c:pt idx="12">
                  <c:v>-195.33276434620564</c:v>
                </c:pt>
                <c:pt idx="13">
                  <c:v>-291.77393151609635</c:v>
                </c:pt>
                <c:pt idx="14">
                  <c:v>-386.45345435427652</c:v>
                </c:pt>
                <c:pt idx="15">
                  <c:v>-478.23193213092475</c:v>
                </c:pt>
                <c:pt idx="16">
                  <c:v>-565.34869411358375</c:v>
                </c:pt>
                <c:pt idx="17">
                  <c:v>-645.04474513077662</c:v>
                </c:pt>
                <c:pt idx="18">
                  <c:v>-712.97191610186644</c:v>
                </c:pt>
                <c:pt idx="19">
                  <c:v>-762.2616868374987</c:v>
                </c:pt>
                <c:pt idx="20">
                  <c:v>-782.05426591749142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95-4263-99C6-E7EBB4C4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224144"/>
        <c:axId val="1751224976"/>
      </c:scatterChart>
      <c:valAx>
        <c:axId val="175122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24976"/>
        <c:crosses val="autoZero"/>
        <c:crossBetween val="midCat"/>
      </c:valAx>
      <c:valAx>
        <c:axId val="175122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24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Stresses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Kroucení!$P$2</c:f>
              <c:strCache>
                <c:ptCount val="1"/>
                <c:pt idx="0">
                  <c:v>σω [MPa]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Kroucení!$L$3:$L$23</c:f>
              <c:numCache>
                <c:formatCode>General</c:formatCode>
                <c:ptCount val="2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2.4000000000000004</c:v>
                </c:pt>
                <c:pt idx="7">
                  <c:v>2.8000000000000003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4.8000000000000007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</c:v>
                </c:pt>
                <c:pt idx="16">
                  <c:v>6.4</c:v>
                </c:pt>
                <c:pt idx="17">
                  <c:v>6.8000000000000007</c:v>
                </c:pt>
                <c:pt idx="18">
                  <c:v>7.2</c:v>
                </c:pt>
                <c:pt idx="19">
                  <c:v>7.6000000000000005</c:v>
                </c:pt>
                <c:pt idx="20">
                  <c:v>8</c:v>
                </c:pt>
              </c:numCache>
            </c:numRef>
          </c:xVal>
          <c:yVal>
            <c:numRef>
              <c:f>Kroucení!$P$3:$P$23</c:f>
              <c:numCache>
                <c:formatCode>0.00</c:formatCode>
                <c:ptCount val="21"/>
                <c:pt idx="0">
                  <c:v>0</c:v>
                </c:pt>
                <c:pt idx="1">
                  <c:v>12.782587076918656</c:v>
                </c:pt>
                <c:pt idx="2">
                  <c:v>20.860250566880389</c:v>
                </c:pt>
                <c:pt idx="3">
                  <c:v>25.962853299060836</c:v>
                </c:pt>
                <c:pt idx="4">
                  <c:v>29.183137352827142</c:v>
                </c:pt>
                <c:pt idx="5">
                  <c:v>31.210738993780151</c:v>
                </c:pt>
                <c:pt idx="6">
                  <c:v>32.47987694314029</c:v>
                </c:pt>
                <c:pt idx="7">
                  <c:v>33.262341993681048</c:v>
                </c:pt>
                <c:pt idx="8">
                  <c:v>33.725702057551992</c:v>
                </c:pt>
                <c:pt idx="9">
                  <c:v>33.969187481747745</c:v>
                </c:pt>
                <c:pt idx="10">
                  <c:v>34.044941610106015</c:v>
                </c:pt>
                <c:pt idx="11">
                  <c:v>33.969187481747745</c:v>
                </c:pt>
                <c:pt idx="12">
                  <c:v>33.725702057551992</c:v>
                </c:pt>
                <c:pt idx="13">
                  <c:v>33.262341993681048</c:v>
                </c:pt>
                <c:pt idx="14">
                  <c:v>32.479876943140276</c:v>
                </c:pt>
                <c:pt idx="15">
                  <c:v>31.210738993780151</c:v>
                </c:pt>
                <c:pt idx="16">
                  <c:v>29.183137352827142</c:v>
                </c:pt>
                <c:pt idx="17">
                  <c:v>25.962853299060825</c:v>
                </c:pt>
                <c:pt idx="18">
                  <c:v>20.860250566880389</c:v>
                </c:pt>
                <c:pt idx="19">
                  <c:v>12.782587076918656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89-4470-89A9-95CEA276F2C9}"/>
            </c:ext>
          </c:extLst>
        </c:ser>
        <c:ser>
          <c:idx val="1"/>
          <c:order val="1"/>
          <c:tx>
            <c:strRef>
              <c:f>Kroucení!$Q$2</c:f>
              <c:strCache>
                <c:ptCount val="1"/>
                <c:pt idx="0">
                  <c:v>τω [MPa]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Kroucení!$L$3:$L$23</c:f>
              <c:numCache>
                <c:formatCode>General</c:formatCode>
                <c:ptCount val="2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2.4000000000000004</c:v>
                </c:pt>
                <c:pt idx="7">
                  <c:v>2.8000000000000003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4.8000000000000007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</c:v>
                </c:pt>
                <c:pt idx="16">
                  <c:v>6.4</c:v>
                </c:pt>
                <c:pt idx="17">
                  <c:v>6.8000000000000007</c:v>
                </c:pt>
                <c:pt idx="18">
                  <c:v>7.2</c:v>
                </c:pt>
                <c:pt idx="19">
                  <c:v>7.6000000000000005</c:v>
                </c:pt>
                <c:pt idx="20">
                  <c:v>8</c:v>
                </c:pt>
              </c:numCache>
            </c:numRef>
          </c:xVal>
          <c:yVal>
            <c:numRef>
              <c:f>Kroucení!$Q$3:$Q$23</c:f>
              <c:numCache>
                <c:formatCode>0.00</c:formatCode>
                <c:ptCount val="21"/>
                <c:pt idx="0">
                  <c:v>1.1954126966990184</c:v>
                </c:pt>
                <c:pt idx="1">
                  <c:v>0.75548222620418792</c:v>
                </c:pt>
                <c:pt idx="2">
                  <c:v>0.4773411918300341</c:v>
                </c:pt>
                <c:pt idx="3">
                  <c:v>0.30142461699264184</c:v>
                </c:pt>
                <c:pt idx="4">
                  <c:v>0.19005928786907028</c:v>
                </c:pt>
                <c:pt idx="5">
                  <c:v>0.11939588917784127</c:v>
                </c:pt>
                <c:pt idx="6">
                  <c:v>7.4301581214616816E-2</c:v>
                </c:pt>
                <c:pt idx="7">
                  <c:v>4.511924379236245E-2</c:v>
                </c:pt>
                <c:pt idx="8">
                  <c:v>2.5599366661244984E-2</c:v>
                </c:pt>
                <c:pt idx="9">
                  <c:v>1.1561692755448487E-2</c:v>
                </c:pt>
                <c:pt idx="10">
                  <c:v>0</c:v>
                </c:pt>
                <c:pt idx="11">
                  <c:v>-1.1561692755448499E-2</c:v>
                </c:pt>
                <c:pt idx="12">
                  <c:v>-2.5599366661245015E-2</c:v>
                </c:pt>
                <c:pt idx="13">
                  <c:v>-4.5119243792362471E-2</c:v>
                </c:pt>
                <c:pt idx="14">
                  <c:v>-7.4301581214616885E-2</c:v>
                </c:pt>
                <c:pt idx="15">
                  <c:v>-0.11939588917784127</c:v>
                </c:pt>
                <c:pt idx="16">
                  <c:v>-0.19005928786907036</c:v>
                </c:pt>
                <c:pt idx="17">
                  <c:v>-0.30142461699264217</c:v>
                </c:pt>
                <c:pt idx="18">
                  <c:v>-0.4773411918300341</c:v>
                </c:pt>
                <c:pt idx="19">
                  <c:v>-0.75548222620418792</c:v>
                </c:pt>
                <c:pt idx="20">
                  <c:v>-1.1954126966990184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89-4470-89A9-95CEA276F2C9}"/>
            </c:ext>
          </c:extLst>
        </c:ser>
        <c:ser>
          <c:idx val="2"/>
          <c:order val="2"/>
          <c:tx>
            <c:strRef>
              <c:f>Kroucení!$R$2</c:f>
              <c:strCache>
                <c:ptCount val="1"/>
                <c:pt idx="0">
                  <c:v>τt,f [MPa]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Kroucení!$L$3:$L$23</c:f>
              <c:numCache>
                <c:formatCode>General</c:formatCode>
                <c:ptCount val="2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2.4000000000000004</c:v>
                </c:pt>
                <c:pt idx="7">
                  <c:v>2.8000000000000003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4.8000000000000007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</c:v>
                </c:pt>
                <c:pt idx="16">
                  <c:v>6.4</c:v>
                </c:pt>
                <c:pt idx="17">
                  <c:v>6.8000000000000007</c:v>
                </c:pt>
                <c:pt idx="18">
                  <c:v>7.2</c:v>
                </c:pt>
                <c:pt idx="19">
                  <c:v>7.6000000000000005</c:v>
                </c:pt>
                <c:pt idx="20">
                  <c:v>8</c:v>
                </c:pt>
              </c:numCache>
            </c:numRef>
          </c:xVal>
          <c:yVal>
            <c:numRef>
              <c:f>Kroucení!$R$3:$R$23</c:f>
              <c:numCache>
                <c:formatCode>0.00</c:formatCode>
                <c:ptCount val="21"/>
                <c:pt idx="0">
                  <c:v>59.504128928504798</c:v>
                </c:pt>
                <c:pt idx="1">
                  <c:v>57.998171824592305</c:v>
                </c:pt>
                <c:pt idx="2">
                  <c:v>54.247863181663767</c:v>
                </c:pt>
                <c:pt idx="3">
                  <c:v>49.079491477341698</c:v>
                </c:pt>
                <c:pt idx="4">
                  <c:v>43.015661508642246</c:v>
                </c:pt>
                <c:pt idx="5">
                  <c:v>36.387212227352975</c:v>
                </c:pt>
                <c:pt idx="6">
                  <c:v>29.404067179129726</c:v>
                </c:pt>
                <c:pt idx="7">
                  <c:v>22.200190441442114</c:v>
                </c:pt>
                <c:pt idx="8">
                  <c:v>14.862275548080849</c:v>
                </c:pt>
                <c:pt idx="9">
                  <c:v>7.4483112441958355</c:v>
                </c:pt>
                <c:pt idx="10">
                  <c:v>0</c:v>
                </c:pt>
                <c:pt idx="11">
                  <c:v>-7.4483112441958443</c:v>
                </c:pt>
                <c:pt idx="12">
                  <c:v>-14.862275548080866</c:v>
                </c:pt>
                <c:pt idx="13">
                  <c:v>-22.200190441442118</c:v>
                </c:pt>
                <c:pt idx="14">
                  <c:v>-29.404067179129743</c:v>
                </c:pt>
                <c:pt idx="15">
                  <c:v>-36.387212227352975</c:v>
                </c:pt>
                <c:pt idx="16">
                  <c:v>-43.015661508642246</c:v>
                </c:pt>
                <c:pt idx="17">
                  <c:v>-49.079491477341712</c:v>
                </c:pt>
                <c:pt idx="18">
                  <c:v>-54.247863181663767</c:v>
                </c:pt>
                <c:pt idx="19">
                  <c:v>-57.998171824592305</c:v>
                </c:pt>
                <c:pt idx="20">
                  <c:v>-59.504128928504798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89-4470-89A9-95CEA276F2C9}"/>
            </c:ext>
          </c:extLst>
        </c:ser>
        <c:ser>
          <c:idx val="3"/>
          <c:order val="3"/>
          <c:tx>
            <c:strRef>
              <c:f>Kroucení!$S$2</c:f>
              <c:strCache>
                <c:ptCount val="1"/>
                <c:pt idx="0">
                  <c:v>τt,w [MPa]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Kroucení!$L$3:$L$23</c:f>
              <c:numCache>
                <c:formatCode>General</c:formatCode>
                <c:ptCount val="21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2.4000000000000004</c:v>
                </c:pt>
                <c:pt idx="7">
                  <c:v>2.8000000000000003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4.8000000000000007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</c:v>
                </c:pt>
                <c:pt idx="16">
                  <c:v>6.4</c:v>
                </c:pt>
                <c:pt idx="17">
                  <c:v>6.8000000000000007</c:v>
                </c:pt>
                <c:pt idx="18">
                  <c:v>7.2</c:v>
                </c:pt>
                <c:pt idx="19">
                  <c:v>7.6000000000000005</c:v>
                </c:pt>
                <c:pt idx="20">
                  <c:v>8</c:v>
                </c:pt>
              </c:numCache>
            </c:numRef>
          </c:xVal>
          <c:yVal>
            <c:numRef>
              <c:f>Kroucení!$S$3:$S$23</c:f>
              <c:numCache>
                <c:formatCode>0.00</c:formatCode>
                <c:ptCount val="21"/>
                <c:pt idx="0">
                  <c:v>37.645469322115275</c:v>
                </c:pt>
                <c:pt idx="1">
                  <c:v>36.692720950252266</c:v>
                </c:pt>
                <c:pt idx="2">
                  <c:v>34.320076706766869</c:v>
                </c:pt>
                <c:pt idx="3">
                  <c:v>31.050290526481472</c:v>
                </c:pt>
                <c:pt idx="4">
                  <c:v>27.21398993403897</c:v>
                </c:pt>
                <c:pt idx="5">
                  <c:v>23.020481205060044</c:v>
                </c:pt>
                <c:pt idx="6">
                  <c:v>18.602573113326965</c:v>
                </c:pt>
                <c:pt idx="7">
                  <c:v>14.045018442545006</c:v>
                </c:pt>
                <c:pt idx="8">
                  <c:v>9.4026641222552279</c:v>
                </c:pt>
                <c:pt idx="9">
                  <c:v>4.712196909593283</c:v>
                </c:pt>
                <c:pt idx="10">
                  <c:v>0</c:v>
                </c:pt>
                <c:pt idx="11">
                  <c:v>-4.7121969095932883</c:v>
                </c:pt>
                <c:pt idx="12">
                  <c:v>-9.4026641222552421</c:v>
                </c:pt>
                <c:pt idx="13">
                  <c:v>-14.045018442545011</c:v>
                </c:pt>
                <c:pt idx="14">
                  <c:v>-18.602573113326979</c:v>
                </c:pt>
                <c:pt idx="15">
                  <c:v>-23.020481205060044</c:v>
                </c:pt>
                <c:pt idx="16">
                  <c:v>-27.21398993403897</c:v>
                </c:pt>
                <c:pt idx="17">
                  <c:v>-31.050290526481483</c:v>
                </c:pt>
                <c:pt idx="18">
                  <c:v>-34.320076706766869</c:v>
                </c:pt>
                <c:pt idx="19">
                  <c:v>-36.692720950252266</c:v>
                </c:pt>
                <c:pt idx="20">
                  <c:v>-37.645469322115275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889-4470-89A9-95CEA276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0728288"/>
        <c:axId val="1310733280"/>
      </c:scatterChart>
      <c:valAx>
        <c:axId val="131072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733280"/>
        <c:crosses val="autoZero"/>
        <c:crossBetween val="midCat"/>
      </c:valAx>
      <c:valAx>
        <c:axId val="13107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728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Forces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'Kroucení - vetknutí'!$M$2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'Kroucení - vetknutí'!$L$3:$L$23</c:f>
              <c:numCache>
                <c:formatCode>General</c:formatCode>
                <c:ptCount val="21"/>
                <c:pt idx="0">
                  <c:v>0</c:v>
                </c:pt>
                <c:pt idx="1">
                  <c:v>0.10500000000000001</c:v>
                </c:pt>
                <c:pt idx="2">
                  <c:v>0.21000000000000002</c:v>
                </c:pt>
                <c:pt idx="3">
                  <c:v>0.31500000000000006</c:v>
                </c:pt>
                <c:pt idx="4">
                  <c:v>0.42000000000000004</c:v>
                </c:pt>
                <c:pt idx="5">
                  <c:v>0.52500000000000002</c:v>
                </c:pt>
                <c:pt idx="6">
                  <c:v>0.63000000000000012</c:v>
                </c:pt>
                <c:pt idx="7">
                  <c:v>0.7350000000000001</c:v>
                </c:pt>
                <c:pt idx="8">
                  <c:v>0.84000000000000008</c:v>
                </c:pt>
                <c:pt idx="9">
                  <c:v>0.94500000000000006</c:v>
                </c:pt>
                <c:pt idx="10">
                  <c:v>1.05</c:v>
                </c:pt>
                <c:pt idx="11">
                  <c:v>1.155</c:v>
                </c:pt>
                <c:pt idx="12">
                  <c:v>1.2600000000000002</c:v>
                </c:pt>
                <c:pt idx="13">
                  <c:v>1.3650000000000002</c:v>
                </c:pt>
                <c:pt idx="14">
                  <c:v>1.4700000000000002</c:v>
                </c:pt>
                <c:pt idx="15">
                  <c:v>1.5750000000000002</c:v>
                </c:pt>
                <c:pt idx="16">
                  <c:v>1.6800000000000002</c:v>
                </c:pt>
                <c:pt idx="17">
                  <c:v>1.7850000000000001</c:v>
                </c:pt>
                <c:pt idx="18">
                  <c:v>1.8900000000000001</c:v>
                </c:pt>
                <c:pt idx="19">
                  <c:v>1.9950000000000001</c:v>
                </c:pt>
                <c:pt idx="20">
                  <c:v>2.1</c:v>
                </c:pt>
              </c:numCache>
            </c:numRef>
          </c:xVal>
          <c:yVal>
            <c:numRef>
              <c:f>'Kroucení - vetknutí'!$M$3:$M$23</c:f>
              <c:numCache>
                <c:formatCode>0</c:formatCode>
                <c:ptCount val="21"/>
                <c:pt idx="0">
                  <c:v>-42572.052959899091</c:v>
                </c:pt>
                <c:pt idx="1">
                  <c:v>-39504.357663184506</c:v>
                </c:pt>
                <c:pt idx="2">
                  <c:v>-36593.272328851192</c:v>
                </c:pt>
                <c:pt idx="3">
                  <c:v>-33827.256332227167</c:v>
                </c:pt>
                <c:pt idx="4">
                  <c:v>-31195.344157435175</c:v>
                </c:pt>
                <c:pt idx="5">
                  <c:v>-28687.101926010444</c:v>
                </c:pt>
                <c:pt idx="6">
                  <c:v>-26292.586033127052</c:v>
                </c:pt>
                <c:pt idx="7">
                  <c:v>-24002.303727450955</c:v>
                </c:pt>
                <c:pt idx="8">
                  <c:v>-21807.175478344256</c:v>
                </c:pt>
                <c:pt idx="9">
                  <c:v>-19698.498981229677</c:v>
                </c:pt>
                <c:pt idx="10">
                  <c:v>-17667.914658419522</c:v>
                </c:pt>
                <c:pt idx="11">
                  <c:v>-15707.372518641476</c:v>
                </c:pt>
                <c:pt idx="12">
                  <c:v>-13809.100243880008</c:v>
                </c:pt>
                <c:pt idx="13">
                  <c:v>-11965.572377017856</c:v>
                </c:pt>
                <c:pt idx="14">
                  <c:v>-10169.48048812583</c:v>
                </c:pt>
                <c:pt idx="15">
                  <c:v>-8413.7042011292124</c:v>
                </c:pt>
                <c:pt idx="16">
                  <c:v>-6691.2829659894142</c:v>
                </c:pt>
                <c:pt idx="17">
                  <c:v>-4995.3884644955797</c:v>
                </c:pt>
                <c:pt idx="18">
                  <c:v>-3319.2975402722477</c:v>
                </c:pt>
                <c:pt idx="19">
                  <c:v>-1656.3655456876802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4E-40A4-8BC8-6F568E576373}"/>
            </c:ext>
          </c:extLst>
        </c:ser>
        <c:ser>
          <c:idx val="1"/>
          <c:order val="1"/>
          <c:tx>
            <c:strRef>
              <c:f>'Kroucení - vetknutí'!$N$2</c:f>
              <c:strCache>
                <c:ptCount val="1"/>
                <c:pt idx="0">
                  <c:v>Tω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'Kroucení - vetknutí'!$L$3:$L$23</c:f>
              <c:numCache>
                <c:formatCode>General</c:formatCode>
                <c:ptCount val="21"/>
                <c:pt idx="0">
                  <c:v>0</c:v>
                </c:pt>
                <c:pt idx="1">
                  <c:v>0.10500000000000001</c:v>
                </c:pt>
                <c:pt idx="2">
                  <c:v>0.21000000000000002</c:v>
                </c:pt>
                <c:pt idx="3">
                  <c:v>0.31500000000000006</c:v>
                </c:pt>
                <c:pt idx="4">
                  <c:v>0.42000000000000004</c:v>
                </c:pt>
                <c:pt idx="5">
                  <c:v>0.52500000000000002</c:v>
                </c:pt>
                <c:pt idx="6">
                  <c:v>0.63000000000000012</c:v>
                </c:pt>
                <c:pt idx="7">
                  <c:v>0.7350000000000001</c:v>
                </c:pt>
                <c:pt idx="8">
                  <c:v>0.84000000000000008</c:v>
                </c:pt>
                <c:pt idx="9">
                  <c:v>0.94500000000000006</c:v>
                </c:pt>
                <c:pt idx="10">
                  <c:v>1.05</c:v>
                </c:pt>
                <c:pt idx="11">
                  <c:v>1.155</c:v>
                </c:pt>
                <c:pt idx="12">
                  <c:v>1.2600000000000002</c:v>
                </c:pt>
                <c:pt idx="13">
                  <c:v>1.3650000000000002</c:v>
                </c:pt>
                <c:pt idx="14">
                  <c:v>1.4700000000000002</c:v>
                </c:pt>
                <c:pt idx="15">
                  <c:v>1.5750000000000002</c:v>
                </c:pt>
                <c:pt idx="16">
                  <c:v>1.6800000000000002</c:v>
                </c:pt>
                <c:pt idx="17">
                  <c:v>1.7850000000000001</c:v>
                </c:pt>
                <c:pt idx="18">
                  <c:v>1.8900000000000001</c:v>
                </c:pt>
                <c:pt idx="19">
                  <c:v>1.9950000000000001</c:v>
                </c:pt>
                <c:pt idx="20">
                  <c:v>2.1</c:v>
                </c:pt>
              </c:numCache>
            </c:numRef>
          </c:xVal>
          <c:yVal>
            <c:numRef>
              <c:f>'Kroucení - vetknutí'!$N$3:$N$23</c:f>
              <c:numCache>
                <c:formatCode>0</c:formatCode>
                <c:ptCount val="21"/>
                <c:pt idx="0">
                  <c:v>30000</c:v>
                </c:pt>
                <c:pt idx="1">
                  <c:v>28451.58766163958</c:v>
                </c:pt>
                <c:pt idx="2">
                  <c:v>27015.967995707033</c:v>
                </c:pt>
                <c:pt idx="3">
                  <c:v>25687.449672051069</c:v>
                </c:pt>
                <c:pt idx="4">
                  <c:v>24460.765950063877</c:v>
                </c:pt>
                <c:pt idx="5">
                  <c:v>23331.053799363028</c:v>
                </c:pt>
                <c:pt idx="6">
                  <c:v>22293.83462093088</c:v>
                </c:pt>
                <c:pt idx="7">
                  <c:v>21344.996492282822</c:v>
                </c:pt>
                <c:pt idx="8">
                  <c:v>20480.777866277644</c:v>
                </c:pt>
                <c:pt idx="9">
                  <c:v>19697.752658946025</c:v>
                </c:pt>
                <c:pt idx="10">
                  <c:v>18992.816667219802</c:v>
                </c:pt>
                <c:pt idx="11">
                  <c:v>18363.175262716799</c:v>
                </c:pt>
                <c:pt idx="12">
                  <c:v>17806.332312794792</c:v>
                </c:pt>
                <c:pt idx="13">
                  <c:v>17320.080284953627</c:v>
                </c:pt>
                <c:pt idx="14">
                  <c:v>16902.491495355545</c:v>
                </c:pt>
                <c:pt idx="15">
                  <c:v>16551.910466769725</c:v>
                </c:pt>
                <c:pt idx="16">
                  <c:v>16266.947365644972</c:v>
                </c:pt>
                <c:pt idx="17">
                  <c:v>16046.47249229278</c:v>
                </c:pt>
                <c:pt idx="18">
                  <c:v>15889.611802337677</c:v>
                </c:pt>
                <c:pt idx="19">
                  <c:v>15795.74344168037</c:v>
                </c:pt>
                <c:pt idx="20">
                  <c:v>15764.495281236856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4E-40A4-8BC8-6F568E576373}"/>
            </c:ext>
          </c:extLst>
        </c:ser>
        <c:ser>
          <c:idx val="2"/>
          <c:order val="2"/>
          <c:tx>
            <c:strRef>
              <c:f>'Kroucení - vetknutí'!$O$2</c:f>
              <c:strCache>
                <c:ptCount val="1"/>
                <c:pt idx="0">
                  <c:v>Tt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'Kroucení - vetknutí'!$L$3:$L$23</c:f>
              <c:numCache>
                <c:formatCode>General</c:formatCode>
                <c:ptCount val="21"/>
                <c:pt idx="0">
                  <c:v>0</c:v>
                </c:pt>
                <c:pt idx="1">
                  <c:v>0.10500000000000001</c:v>
                </c:pt>
                <c:pt idx="2">
                  <c:v>0.21000000000000002</c:v>
                </c:pt>
                <c:pt idx="3">
                  <c:v>0.31500000000000006</c:v>
                </c:pt>
                <c:pt idx="4">
                  <c:v>0.42000000000000004</c:v>
                </c:pt>
                <c:pt idx="5">
                  <c:v>0.52500000000000002</c:v>
                </c:pt>
                <c:pt idx="6">
                  <c:v>0.63000000000000012</c:v>
                </c:pt>
                <c:pt idx="7">
                  <c:v>0.7350000000000001</c:v>
                </c:pt>
                <c:pt idx="8">
                  <c:v>0.84000000000000008</c:v>
                </c:pt>
                <c:pt idx="9">
                  <c:v>0.94500000000000006</c:v>
                </c:pt>
                <c:pt idx="10">
                  <c:v>1.05</c:v>
                </c:pt>
                <c:pt idx="11">
                  <c:v>1.155</c:v>
                </c:pt>
                <c:pt idx="12">
                  <c:v>1.2600000000000002</c:v>
                </c:pt>
                <c:pt idx="13">
                  <c:v>1.3650000000000002</c:v>
                </c:pt>
                <c:pt idx="14">
                  <c:v>1.4700000000000002</c:v>
                </c:pt>
                <c:pt idx="15">
                  <c:v>1.5750000000000002</c:v>
                </c:pt>
                <c:pt idx="16">
                  <c:v>1.6800000000000002</c:v>
                </c:pt>
                <c:pt idx="17">
                  <c:v>1.7850000000000001</c:v>
                </c:pt>
                <c:pt idx="18">
                  <c:v>1.8900000000000001</c:v>
                </c:pt>
                <c:pt idx="19">
                  <c:v>1.9950000000000001</c:v>
                </c:pt>
                <c:pt idx="20">
                  <c:v>2.1</c:v>
                </c:pt>
              </c:numCache>
            </c:numRef>
          </c:xVal>
          <c:yVal>
            <c:numRef>
              <c:f>'Kroucení - vetknutí'!$O$3:$O$23</c:f>
              <c:numCache>
                <c:formatCode>0</c:formatCode>
                <c:ptCount val="21"/>
                <c:pt idx="0">
                  <c:v>0</c:v>
                </c:pt>
                <c:pt idx="1">
                  <c:v>1548.4123383604187</c:v>
                </c:pt>
                <c:pt idx="2">
                  <c:v>2984.032004292967</c:v>
                </c:pt>
                <c:pt idx="3">
                  <c:v>4312.550327948933</c:v>
                </c:pt>
                <c:pt idx="4">
                  <c:v>5539.2340499361244</c:v>
                </c:pt>
                <c:pt idx="5">
                  <c:v>6668.946200636974</c:v>
                </c:pt>
                <c:pt idx="6">
                  <c:v>7706.1653790691198</c:v>
                </c:pt>
                <c:pt idx="7">
                  <c:v>8655.0035077171797</c:v>
                </c:pt>
                <c:pt idx="8">
                  <c:v>9519.2221337223564</c:v>
                </c:pt>
                <c:pt idx="9">
                  <c:v>10302.247341053977</c:v>
                </c:pt>
                <c:pt idx="10">
                  <c:v>11007.183332780198</c:v>
                </c:pt>
                <c:pt idx="11">
                  <c:v>11636.824737283201</c:v>
                </c:pt>
                <c:pt idx="12">
                  <c:v>12193.667687205207</c:v>
                </c:pt>
                <c:pt idx="13">
                  <c:v>12679.919715046373</c:v>
                </c:pt>
                <c:pt idx="14">
                  <c:v>13097.508504644455</c:v>
                </c:pt>
                <c:pt idx="15">
                  <c:v>13448.089533230273</c:v>
                </c:pt>
                <c:pt idx="16">
                  <c:v>13733.052634355028</c:v>
                </c:pt>
                <c:pt idx="17">
                  <c:v>13953.52750770722</c:v>
                </c:pt>
                <c:pt idx="18">
                  <c:v>14110.388197662323</c:v>
                </c:pt>
                <c:pt idx="19">
                  <c:v>14204.25655831963</c:v>
                </c:pt>
                <c:pt idx="20">
                  <c:v>14235.504718763144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4E-40A4-8BC8-6F568E57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224144"/>
        <c:axId val="1751224976"/>
      </c:scatterChart>
      <c:valAx>
        <c:axId val="175122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Member longitudinal axis [m]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24976"/>
        <c:crosses val="autoZero"/>
        <c:crossBetween val="midCat"/>
      </c:valAx>
      <c:valAx>
        <c:axId val="175122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Torsion [Nm], Bimoment [Nm</a:t>
                </a:r>
                <a:r>
                  <a:rPr lang="en-US" baseline="30000"/>
                  <a:t>2</a:t>
                </a:r>
                <a:r>
                  <a:rPr lang="en-US"/>
                  <a:t>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24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Stresses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'Kroucení - vetknutí'!$P$2</c:f>
              <c:strCache>
                <c:ptCount val="1"/>
                <c:pt idx="0">
                  <c:v>σω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'Kroucení - vetknutí'!$L$3:$L$23</c:f>
              <c:numCache>
                <c:formatCode>General</c:formatCode>
                <c:ptCount val="21"/>
                <c:pt idx="0">
                  <c:v>0</c:v>
                </c:pt>
                <c:pt idx="1">
                  <c:v>0.10500000000000001</c:v>
                </c:pt>
                <c:pt idx="2">
                  <c:v>0.21000000000000002</c:v>
                </c:pt>
                <c:pt idx="3">
                  <c:v>0.31500000000000006</c:v>
                </c:pt>
                <c:pt idx="4">
                  <c:v>0.42000000000000004</c:v>
                </c:pt>
                <c:pt idx="5">
                  <c:v>0.52500000000000002</c:v>
                </c:pt>
                <c:pt idx="6">
                  <c:v>0.63000000000000012</c:v>
                </c:pt>
                <c:pt idx="7">
                  <c:v>0.7350000000000001</c:v>
                </c:pt>
                <c:pt idx="8">
                  <c:v>0.84000000000000008</c:v>
                </c:pt>
                <c:pt idx="9">
                  <c:v>0.94500000000000006</c:v>
                </c:pt>
                <c:pt idx="10">
                  <c:v>1.05</c:v>
                </c:pt>
                <c:pt idx="11">
                  <c:v>1.155</c:v>
                </c:pt>
                <c:pt idx="12">
                  <c:v>1.2600000000000002</c:v>
                </c:pt>
                <c:pt idx="13">
                  <c:v>1.3650000000000002</c:v>
                </c:pt>
                <c:pt idx="14">
                  <c:v>1.4700000000000002</c:v>
                </c:pt>
                <c:pt idx="15">
                  <c:v>1.5750000000000002</c:v>
                </c:pt>
                <c:pt idx="16">
                  <c:v>1.6800000000000002</c:v>
                </c:pt>
                <c:pt idx="17">
                  <c:v>1.7850000000000001</c:v>
                </c:pt>
                <c:pt idx="18">
                  <c:v>1.8900000000000001</c:v>
                </c:pt>
                <c:pt idx="19">
                  <c:v>1.9950000000000001</c:v>
                </c:pt>
                <c:pt idx="20">
                  <c:v>2.1</c:v>
                </c:pt>
              </c:numCache>
            </c:numRef>
          </c:xVal>
          <c:yVal>
            <c:numRef>
              <c:f>'Kroucení - vetknutí'!$P$3:$P$23</c:f>
              <c:numCache>
                <c:formatCode>0</c:formatCode>
                <c:ptCount val="21"/>
                <c:pt idx="0">
                  <c:v>-314.27536478250119</c:v>
                </c:pt>
                <c:pt idx="1">
                  <c:v>-291.62902777534117</c:v>
                </c:pt>
                <c:pt idx="2">
                  <c:v>-270.1388166684826</c:v>
                </c:pt>
                <c:pt idx="3">
                  <c:v>-249.71953627455659</c:v>
                </c:pt>
                <c:pt idx="4">
                  <c:v>-230.29023697373611</c:v>
                </c:pt>
                <c:pt idx="5">
                  <c:v>-211.77389379934411</c:v>
                </c:pt>
                <c:pt idx="6">
                  <c:v>-194.09710108224684</c:v>
                </c:pt>
                <c:pt idx="7">
                  <c:v>-177.18978144348608</c:v>
                </c:pt>
                <c:pt idx="8">
                  <c:v>-160.98490798149422</c:v>
                </c:pt>
                <c:pt idx="9">
                  <c:v>-145.41823855253321</c:v>
                </c:pt>
                <c:pt idx="10">
                  <c:v>-130.42806109095039</c:v>
                </c:pt>
                <c:pt idx="11">
                  <c:v>-115.95494895960462</c:v>
                </c:pt>
                <c:pt idx="12">
                  <c:v>-101.94152536058016</c:v>
                </c:pt>
                <c:pt idx="13">
                  <c:v>-88.33223587222605</c:v>
                </c:pt>
                <c:pt idx="14">
                  <c:v>-75.073128210771827</c:v>
                </c:pt>
                <c:pt idx="15">
                  <c:v>-62.111638343414604</c:v>
                </c:pt>
                <c:pt idx="16">
                  <c:v>-49.396382104948032</c:v>
                </c:pt>
                <c:pt idx="17">
                  <c:v>-36.876951491826006</c:v>
                </c:pt>
                <c:pt idx="18">
                  <c:v>-24.503714826093557</c:v>
                </c:pt>
                <c:pt idx="19">
                  <c:v>-12.22761999696141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43-48F0-8076-8E1893C0AC12}"/>
            </c:ext>
          </c:extLst>
        </c:ser>
        <c:ser>
          <c:idx val="1"/>
          <c:order val="1"/>
          <c:tx>
            <c:strRef>
              <c:f>'Kroucení - vetknutí'!$Q$2</c:f>
              <c:strCache>
                <c:ptCount val="1"/>
                <c:pt idx="0">
                  <c:v>τω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'Kroucení - vetknutí'!$L$3:$L$23</c:f>
              <c:numCache>
                <c:formatCode>General</c:formatCode>
                <c:ptCount val="21"/>
                <c:pt idx="0">
                  <c:v>0</c:v>
                </c:pt>
                <c:pt idx="1">
                  <c:v>0.10500000000000001</c:v>
                </c:pt>
                <c:pt idx="2">
                  <c:v>0.21000000000000002</c:v>
                </c:pt>
                <c:pt idx="3">
                  <c:v>0.31500000000000006</c:v>
                </c:pt>
                <c:pt idx="4">
                  <c:v>0.42000000000000004</c:v>
                </c:pt>
                <c:pt idx="5">
                  <c:v>0.52500000000000002</c:v>
                </c:pt>
                <c:pt idx="6">
                  <c:v>0.63000000000000012</c:v>
                </c:pt>
                <c:pt idx="7">
                  <c:v>0.7350000000000001</c:v>
                </c:pt>
                <c:pt idx="8">
                  <c:v>0.84000000000000008</c:v>
                </c:pt>
                <c:pt idx="9">
                  <c:v>0.94500000000000006</c:v>
                </c:pt>
                <c:pt idx="10">
                  <c:v>1.05</c:v>
                </c:pt>
                <c:pt idx="11">
                  <c:v>1.155</c:v>
                </c:pt>
                <c:pt idx="12">
                  <c:v>1.2600000000000002</c:v>
                </c:pt>
                <c:pt idx="13">
                  <c:v>1.3650000000000002</c:v>
                </c:pt>
                <c:pt idx="14">
                  <c:v>1.4700000000000002</c:v>
                </c:pt>
                <c:pt idx="15">
                  <c:v>1.5750000000000002</c:v>
                </c:pt>
                <c:pt idx="16">
                  <c:v>1.6800000000000002</c:v>
                </c:pt>
                <c:pt idx="17">
                  <c:v>1.7850000000000001</c:v>
                </c:pt>
                <c:pt idx="18">
                  <c:v>1.8900000000000001</c:v>
                </c:pt>
                <c:pt idx="19">
                  <c:v>1.9950000000000001</c:v>
                </c:pt>
                <c:pt idx="20">
                  <c:v>2.1</c:v>
                </c:pt>
              </c:numCache>
            </c:numRef>
          </c:xVal>
          <c:yVal>
            <c:numRef>
              <c:f>'Kroucení - vetknutí'!$Q$3:$Q$23</c:f>
              <c:numCache>
                <c:formatCode>0</c:formatCode>
                <c:ptCount val="21"/>
                <c:pt idx="0">
                  <c:v>16.609947643979059</c:v>
                </c:pt>
                <c:pt idx="1">
                  <c:v>15.7526460482638</c:v>
                </c:pt>
                <c:pt idx="2">
                  <c:v>14.957793798670256</c:v>
                </c:pt>
                <c:pt idx="3">
                  <c:v>14.222239805337178</c:v>
                </c:pt>
                <c:pt idx="4">
                  <c:v>13.543068058739554</c:v>
                </c:pt>
                <c:pt idx="5">
                  <c:v>12.917586069542621</c:v>
                </c:pt>
                <c:pt idx="6">
                  <c:v>12.343314194572988</c:v>
                </c:pt>
                <c:pt idx="7">
                  <c:v>11.817975806591145</c:v>
                </c:pt>
                <c:pt idx="8">
                  <c:v>11.339488268894561</c:v>
                </c:pt>
                <c:pt idx="9">
                  <c:v>10.905954678971424</c:v>
                </c:pt>
                <c:pt idx="10">
                  <c:v>10.51565634847379</c:v>
                </c:pt>
                <c:pt idx="11">
                  <c:v>10.167045989697915</c:v>
                </c:pt>
                <c:pt idx="12">
                  <c:v>9.8587415815604658</c:v>
                </c:pt>
                <c:pt idx="13">
                  <c:v>9.5895208907531195</c:v>
                </c:pt>
                <c:pt idx="14">
                  <c:v>9.3583166263552311</c:v>
                </c:pt>
                <c:pt idx="15">
                  <c:v>9.1642122086958029</c:v>
                </c:pt>
                <c:pt idx="16">
                  <c:v>9.0064381356908694</c:v>
                </c:pt>
                <c:pt idx="17">
                  <c:v>8.8843689322511068</c:v>
                </c:pt>
                <c:pt idx="18">
                  <c:v>8.7975206706660192</c:v>
                </c:pt>
                <c:pt idx="19">
                  <c:v>8.7455490521345514</c:v>
                </c:pt>
                <c:pt idx="20">
                  <c:v>8.7282480418366362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43-48F0-8076-8E1893C0AC12}"/>
            </c:ext>
          </c:extLst>
        </c:ser>
        <c:ser>
          <c:idx val="2"/>
          <c:order val="2"/>
          <c:tx>
            <c:strRef>
              <c:f>'Kroucení - vetknutí'!$R$2</c:f>
              <c:strCache>
                <c:ptCount val="1"/>
                <c:pt idx="0">
                  <c:v>τt,f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'Kroucení - vetknutí'!$L$3:$L$23</c:f>
              <c:numCache>
                <c:formatCode>General</c:formatCode>
                <c:ptCount val="21"/>
                <c:pt idx="0">
                  <c:v>0</c:v>
                </c:pt>
                <c:pt idx="1">
                  <c:v>0.10500000000000001</c:v>
                </c:pt>
                <c:pt idx="2">
                  <c:v>0.21000000000000002</c:v>
                </c:pt>
                <c:pt idx="3">
                  <c:v>0.31500000000000006</c:v>
                </c:pt>
                <c:pt idx="4">
                  <c:v>0.42000000000000004</c:v>
                </c:pt>
                <c:pt idx="5">
                  <c:v>0.52500000000000002</c:v>
                </c:pt>
                <c:pt idx="6">
                  <c:v>0.63000000000000012</c:v>
                </c:pt>
                <c:pt idx="7">
                  <c:v>0.7350000000000001</c:v>
                </c:pt>
                <c:pt idx="8">
                  <c:v>0.84000000000000008</c:v>
                </c:pt>
                <c:pt idx="9">
                  <c:v>0.94500000000000006</c:v>
                </c:pt>
                <c:pt idx="10">
                  <c:v>1.05</c:v>
                </c:pt>
                <c:pt idx="11">
                  <c:v>1.155</c:v>
                </c:pt>
                <c:pt idx="12">
                  <c:v>1.2600000000000002</c:v>
                </c:pt>
                <c:pt idx="13">
                  <c:v>1.3650000000000002</c:v>
                </c:pt>
                <c:pt idx="14">
                  <c:v>1.4700000000000002</c:v>
                </c:pt>
                <c:pt idx="15">
                  <c:v>1.5750000000000002</c:v>
                </c:pt>
                <c:pt idx="16">
                  <c:v>1.6800000000000002</c:v>
                </c:pt>
                <c:pt idx="17">
                  <c:v>1.7850000000000001</c:v>
                </c:pt>
                <c:pt idx="18">
                  <c:v>1.8900000000000001</c:v>
                </c:pt>
                <c:pt idx="19">
                  <c:v>1.9950000000000001</c:v>
                </c:pt>
                <c:pt idx="20">
                  <c:v>2.1</c:v>
                </c:pt>
              </c:numCache>
            </c:numRef>
          </c:xVal>
          <c:yVal>
            <c:numRef>
              <c:f>'Kroucení - vetknutí'!$R$3:$R$23</c:f>
              <c:numCache>
                <c:formatCode>0</c:formatCode>
                <c:ptCount val="21"/>
                <c:pt idx="0">
                  <c:v>0</c:v>
                </c:pt>
                <c:pt idx="1">
                  <c:v>10.438734865351138</c:v>
                </c:pt>
                <c:pt idx="2">
                  <c:v>20.117069691862699</c:v>
                </c:pt>
                <c:pt idx="3">
                  <c:v>29.073372997408541</c:v>
                </c:pt>
                <c:pt idx="4">
                  <c:v>37.343150898445785</c:v>
                </c:pt>
                <c:pt idx="5">
                  <c:v>44.959187869462745</c:v>
                </c:pt>
                <c:pt idx="6">
                  <c:v>51.951676712825531</c:v>
                </c:pt>
                <c:pt idx="7">
                  <c:v>58.348338254273131</c:v>
                </c:pt>
                <c:pt idx="8">
                  <c:v>64.174531238577686</c:v>
                </c:pt>
                <c:pt idx="9">
                  <c:v>69.453352861038056</c:v>
                </c:pt>
                <c:pt idx="10">
                  <c:v>74.205730333349663</c:v>
                </c:pt>
                <c:pt idx="11">
                  <c:v>78.450503846853053</c:v>
                </c:pt>
                <c:pt idx="12">
                  <c:v>82.204501262057576</c:v>
                </c:pt>
                <c:pt idx="13">
                  <c:v>85.482604820537361</c:v>
                </c:pt>
                <c:pt idx="14">
                  <c:v>88.297810143670489</c:v>
                </c:pt>
                <c:pt idx="15">
                  <c:v>90.661277752114202</c:v>
                </c:pt>
                <c:pt idx="16">
                  <c:v>92.582377310258622</c:v>
                </c:pt>
                <c:pt idx="17">
                  <c:v>94.068724771059934</c:v>
                </c:pt>
                <c:pt idx="18">
                  <c:v>95.126212568510056</c:v>
                </c:pt>
                <c:pt idx="19">
                  <c:v>95.759032977435709</c:v>
                </c:pt>
                <c:pt idx="20">
                  <c:v>95.969694733234689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43-48F0-8076-8E1893C0AC12}"/>
            </c:ext>
          </c:extLst>
        </c:ser>
        <c:ser>
          <c:idx val="3"/>
          <c:order val="3"/>
          <c:tx>
            <c:strRef>
              <c:f>'Kroucení - vetknutí'!$S$2</c:f>
              <c:strCache>
                <c:ptCount val="1"/>
                <c:pt idx="0">
                  <c:v>τt,w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'Kroucení - vetknutí'!$L$3:$L$23</c:f>
              <c:numCache>
                <c:formatCode>General</c:formatCode>
                <c:ptCount val="21"/>
                <c:pt idx="0">
                  <c:v>0</c:v>
                </c:pt>
                <c:pt idx="1">
                  <c:v>0.10500000000000001</c:v>
                </c:pt>
                <c:pt idx="2">
                  <c:v>0.21000000000000002</c:v>
                </c:pt>
                <c:pt idx="3">
                  <c:v>0.31500000000000006</c:v>
                </c:pt>
                <c:pt idx="4">
                  <c:v>0.42000000000000004</c:v>
                </c:pt>
                <c:pt idx="5">
                  <c:v>0.52500000000000002</c:v>
                </c:pt>
                <c:pt idx="6">
                  <c:v>0.63000000000000012</c:v>
                </c:pt>
                <c:pt idx="7">
                  <c:v>0.7350000000000001</c:v>
                </c:pt>
                <c:pt idx="8">
                  <c:v>0.84000000000000008</c:v>
                </c:pt>
                <c:pt idx="9">
                  <c:v>0.94500000000000006</c:v>
                </c:pt>
                <c:pt idx="10">
                  <c:v>1.05</c:v>
                </c:pt>
                <c:pt idx="11">
                  <c:v>1.155</c:v>
                </c:pt>
                <c:pt idx="12">
                  <c:v>1.2600000000000002</c:v>
                </c:pt>
                <c:pt idx="13">
                  <c:v>1.3650000000000002</c:v>
                </c:pt>
                <c:pt idx="14">
                  <c:v>1.4700000000000002</c:v>
                </c:pt>
                <c:pt idx="15">
                  <c:v>1.5750000000000002</c:v>
                </c:pt>
                <c:pt idx="16">
                  <c:v>1.6800000000000002</c:v>
                </c:pt>
                <c:pt idx="17">
                  <c:v>1.7850000000000001</c:v>
                </c:pt>
                <c:pt idx="18">
                  <c:v>1.8900000000000001</c:v>
                </c:pt>
                <c:pt idx="19">
                  <c:v>1.9950000000000001</c:v>
                </c:pt>
                <c:pt idx="20">
                  <c:v>2.1</c:v>
                </c:pt>
              </c:numCache>
            </c:numRef>
          </c:xVal>
          <c:yVal>
            <c:numRef>
              <c:f>'Kroucení - vetknutí'!$S$3:$S$23</c:f>
              <c:numCache>
                <c:formatCode>0</c:formatCode>
                <c:ptCount val="21"/>
                <c:pt idx="0">
                  <c:v>0</c:v>
                </c:pt>
                <c:pt idx="1">
                  <c:v>5.8717883617600153</c:v>
                </c:pt>
                <c:pt idx="2">
                  <c:v>11.315851701672768</c:v>
                </c:pt>
                <c:pt idx="3">
                  <c:v>16.353772311042302</c:v>
                </c:pt>
                <c:pt idx="4">
                  <c:v>21.005522380375755</c:v>
                </c:pt>
                <c:pt idx="5">
                  <c:v>25.289543176572796</c:v>
                </c:pt>
                <c:pt idx="6">
                  <c:v>29.222818150964361</c:v>
                </c:pt>
                <c:pt idx="7">
                  <c:v>32.820940268028629</c:v>
                </c:pt>
                <c:pt idx="8">
                  <c:v>36.098173821699945</c:v>
                </c:pt>
                <c:pt idx="9">
                  <c:v>39.067510984333907</c:v>
                </c:pt>
                <c:pt idx="10">
                  <c:v>41.740723312509182</c:v>
                </c:pt>
                <c:pt idx="11">
                  <c:v>44.128408413854835</c:v>
                </c:pt>
                <c:pt idx="12">
                  <c:v>46.240031959907384</c:v>
                </c:pt>
                <c:pt idx="13">
                  <c:v>48.083965211552261</c:v>
                </c:pt>
                <c:pt idx="14">
                  <c:v>49.667518205814645</c:v>
                </c:pt>
                <c:pt idx="15">
                  <c:v>50.996968735564238</c:v>
                </c:pt>
                <c:pt idx="16">
                  <c:v>52.077587237020481</c:v>
                </c:pt>
                <c:pt idx="17">
                  <c:v>52.913657683721205</c:v>
                </c:pt>
                <c:pt idx="18">
                  <c:v>53.508494569786905</c:v>
                </c:pt>
                <c:pt idx="19">
                  <c:v>53.864456049807586</c:v>
                </c:pt>
                <c:pt idx="20">
                  <c:v>53.982953287444509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43-48F0-8076-8E1893C0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0728288"/>
        <c:axId val="1310733280"/>
      </c:scatterChart>
      <c:valAx>
        <c:axId val="131072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Member</a:t>
                </a:r>
                <a:r>
                  <a:rPr lang="en-US" baseline="0"/>
                  <a:t> longitudinal axis [m]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733280"/>
        <c:crosses val="autoZero"/>
        <c:crossBetween val="midCat"/>
      </c:valAx>
      <c:valAx>
        <c:axId val="13107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[MPa]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728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60231</xdr:colOff>
      <xdr:row>24</xdr:row>
      <xdr:rowOff>70036</xdr:rowOff>
    </xdr:from>
    <xdr:to>
      <xdr:col>16</xdr:col>
      <xdr:colOff>360548</xdr:colOff>
      <xdr:row>38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E5F6D3-117D-4B09-9E05-10D00D2B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355505</xdr:colOff>
      <xdr:row>24</xdr:row>
      <xdr:rowOff>64994</xdr:rowOff>
    </xdr:from>
    <xdr:to>
      <xdr:col>24</xdr:col>
      <xdr:colOff>55188</xdr:colOff>
      <xdr:row>38</xdr:row>
      <xdr:rowOff>168088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5D7538-FC88-42D3-8C79-17103C1DC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25</xdr:col>
      <xdr:colOff>0</xdr:colOff>
      <xdr:row>4</xdr:row>
      <xdr:rowOff>134470</xdr:rowOff>
    </xdr:from>
    <xdr:to>
      <xdr:col>37</xdr:col>
      <xdr:colOff>82051</xdr:colOff>
      <xdr:row>36</xdr:row>
      <xdr:rowOff>145676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AF9CFB-C4C5-0058-76FA-B8EB09FE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77028" y="930088"/>
          <a:ext cx="7343462" cy="6858000"/>
        </a:xfrm>
        <a:prstGeom prst="rect">
          <a:avLst/>
        </a:prstGeom>
      </xdr:spPr>
    </xdr:pic>
    <xdr:clientData/>
  </xdr:twoCellAnchor>
  <xdr:twoCellAnchor editAs="oneCell">
    <xdr:from>
      <xdr:col>9</xdr:col>
      <xdr:colOff>44824</xdr:colOff>
      <xdr:row>40</xdr:row>
      <xdr:rowOff>179095</xdr:rowOff>
    </xdr:from>
    <xdr:to>
      <xdr:col>17</xdr:col>
      <xdr:colOff>40532</xdr:colOff>
      <xdr:row>74</xdr:row>
      <xdr:rowOff>78129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B223CE-C2AA-88B7-321B-E78AAE0B6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7559" y="8572301"/>
          <a:ext cx="4836649" cy="6779446"/>
        </a:xfrm>
        <a:prstGeom prst="rect">
          <a:avLst/>
        </a:prstGeom>
      </xdr:spPr>
    </xdr:pic>
    <xdr:clientData/>
  </xdr:twoCellAnchor>
  <xdr:twoCellAnchor editAs="oneCell">
    <xdr:from>
      <xdr:col>17</xdr:col>
      <xdr:colOff>328565</xdr:colOff>
      <xdr:row>40</xdr:row>
      <xdr:rowOff>134471</xdr:rowOff>
    </xdr:from>
    <xdr:to>
      <xdr:col>25</xdr:col>
      <xdr:colOff>365759</xdr:colOff>
      <xdr:row>58</xdr:row>
      <xdr:rowOff>124717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DB9E97-91BC-9358-4A5C-DE98698E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42241" y="8527677"/>
          <a:ext cx="4878136" cy="3789040"/>
        </a:xfrm>
        <a:prstGeom prst="rect">
          <a:avLst/>
        </a:prstGeom>
      </xdr:spPr>
    </xdr:pic>
    <xdr:clientData/>
  </xdr:twoCellAnchor>
  <xdr:twoCellAnchor editAs="oneCell">
    <xdr:from>
      <xdr:col>17</xdr:col>
      <xdr:colOff>493009</xdr:colOff>
      <xdr:row>61</xdr:row>
      <xdr:rowOff>156674</xdr:rowOff>
    </xdr:from>
    <xdr:to>
      <xdr:col>25</xdr:col>
      <xdr:colOff>47322</xdr:colOff>
      <xdr:row>65</xdr:row>
      <xdr:rowOff>42746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5382C2-2F5B-3A35-4E81-3615A2772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06685" y="12460733"/>
          <a:ext cx="4395255" cy="648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452437</xdr:colOff>
      <xdr:row>23</xdr:row>
      <xdr:rowOff>47625</xdr:rowOff>
    </xdr:from>
    <xdr:to>
      <xdr:col>17</xdr:col>
      <xdr:colOff>147637</xdr:colOff>
      <xdr:row>36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9C1A1E-45FF-4E06-A015-ECCE8317A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176212</xdr:colOff>
      <xdr:row>23</xdr:row>
      <xdr:rowOff>57150</xdr:rowOff>
    </xdr:from>
    <xdr:to>
      <xdr:col>23</xdr:col>
      <xdr:colOff>316230</xdr:colOff>
      <xdr:row>36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DE9245-C581-4385-B7C8-366FA5248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238685</xdr:colOff>
      <xdr:row>8</xdr:row>
      <xdr:rowOff>55134</xdr:rowOff>
    </xdr:from>
    <xdr:to>
      <xdr:col>31</xdr:col>
      <xdr:colOff>470487</xdr:colOff>
      <xdr:row>17</xdr:row>
      <xdr:rowOff>12551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CBA7C3-CE3C-476A-AC0C-C7742D7DD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3097" y="1736016"/>
          <a:ext cx="7493214" cy="1907241"/>
        </a:xfrm>
        <a:prstGeom prst="rect">
          <a:avLst/>
        </a:prstGeom>
      </xdr:spPr>
    </xdr:pic>
    <xdr:clientData/>
  </xdr:twoCellAnchor>
  <xdr:twoCellAnchor editAs="oneCell">
    <xdr:from>
      <xdr:col>6</xdr:col>
      <xdr:colOff>417420</xdr:colOff>
      <xdr:row>5</xdr:row>
      <xdr:rowOff>115422</xdr:rowOff>
    </xdr:from>
    <xdr:to>
      <xdr:col>10</xdr:col>
      <xdr:colOff>224118</xdr:colOff>
      <xdr:row>9</xdr:row>
      <xdr:rowOff>23334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6B6E20-0E80-4A9E-8C30-E2D55833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4802" y="1101540"/>
          <a:ext cx="2227169" cy="793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10</xdr:row>
      <xdr:rowOff>114300</xdr:rowOff>
    </xdr:from>
    <xdr:to>
      <xdr:col>17</xdr:col>
      <xdr:colOff>66675</xdr:colOff>
      <xdr:row>41</xdr:row>
      <xdr:rowOff>26172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2C4288-9FFC-DA73-F49F-A7ED74300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3025" y="1828800"/>
          <a:ext cx="5276850" cy="5817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104775</xdr:rowOff>
    </xdr:from>
    <xdr:to>
      <xdr:col>8</xdr:col>
      <xdr:colOff>219074</xdr:colOff>
      <xdr:row>40</xdr:row>
      <xdr:rowOff>29033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B340F3-F98E-C6F0-3D07-4056CBEE7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19275"/>
          <a:ext cx="5095874" cy="5639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tabSelected="1" zoomScale="85" zoomScaleNormal="85" workbookViewId="0">
      <selection activeCell="B24" sqref="B24"/>
    </sheetView>
  </sheetViews>
  <sheetFormatPr defaultRowHeight="15" x14ac:dyDescent="0.25"/>
  <cols>
    <col min="2" max="2" width="12.5703125" bestFit="1" customWidth="1"/>
    <col min="5" max="5" width="10.5703125" bestFit="1" customWidth="1"/>
    <col min="6" max="6" width="12" bestFit="1" customWidth="1"/>
  </cols>
  <sheetData>
    <row r="1" spans="1:21" x14ac:dyDescent="0.25">
      <c r="A1" s="1" t="s">
        <v>0</v>
      </c>
      <c r="M1" s="18" t="s">
        <v>228</v>
      </c>
      <c r="N1" s="18"/>
      <c r="O1" s="18"/>
      <c r="P1" s="18"/>
      <c r="Q1" s="18"/>
      <c r="R1" s="18"/>
      <c r="S1" s="18"/>
      <c r="T1" s="18" t="s">
        <v>227</v>
      </c>
      <c r="U1" s="18"/>
    </row>
    <row r="2" spans="1:21" ht="18" x14ac:dyDescent="0.35">
      <c r="A2" s="1" t="s">
        <v>245</v>
      </c>
      <c r="E2" s="1" t="s">
        <v>246</v>
      </c>
      <c r="L2" s="3" t="s">
        <v>6</v>
      </c>
      <c r="M2" s="3" t="s">
        <v>218</v>
      </c>
      <c r="N2" s="3" t="s">
        <v>219</v>
      </c>
      <c r="O2" s="3" t="s">
        <v>220</v>
      </c>
      <c r="P2" s="6" t="s">
        <v>221</v>
      </c>
      <c r="Q2" s="3" t="s">
        <v>222</v>
      </c>
      <c r="R2" s="3" t="s">
        <v>223</v>
      </c>
      <c r="S2" s="3" t="s">
        <v>224</v>
      </c>
      <c r="T2" s="3" t="s">
        <v>225</v>
      </c>
      <c r="U2" s="6" t="s">
        <v>226</v>
      </c>
    </row>
    <row r="3" spans="1:21" ht="18" x14ac:dyDescent="0.35">
      <c r="A3" s="3" t="s">
        <v>232</v>
      </c>
      <c r="B3" s="2">
        <v>5000</v>
      </c>
      <c r="C3" t="s">
        <v>3</v>
      </c>
      <c r="E3" s="2" t="s">
        <v>126</v>
      </c>
      <c r="K3">
        <v>0</v>
      </c>
      <c r="L3">
        <v>0</v>
      </c>
      <c r="M3" s="8">
        <f t="shared" ref="M3:M23" si="0">$B$6/$F$6^2*(1-COSH($F$6*($B$5/2-L3))/COSH($F$6*$B$5/2))</f>
        <v>0</v>
      </c>
      <c r="N3" s="8">
        <f t="shared" ref="N3:N23" si="1">$B$6/$F$6*SINH($F$6*($B$5/2-L3))/COSH($F$6*$B$5/2)</f>
        <v>217.94573408250858</v>
      </c>
      <c r="O3" s="8">
        <f t="shared" ref="O3:O23" si="2">$B$6/$F$6*($F$6*($B$5/2-L3)-SINH($F$6*($B$5/2-L3))/COSH($F$6*$B$5/2))</f>
        <v>782.05426591749142</v>
      </c>
      <c r="P3" s="8">
        <f t="shared" ref="P3:P23" si="3">M3*$F$11/$F$5/1000000</f>
        <v>0</v>
      </c>
      <c r="Q3" s="8">
        <f t="shared" ref="Q3:Q23" si="4">N3*$F$12/($F$5*$F$9)/1000000</f>
        <v>1.1954126966990184</v>
      </c>
      <c r="R3" s="8">
        <f t="shared" ref="R3:R23" si="5">O3*$F$9/$F$4/1000000</f>
        <v>59.504128928504798</v>
      </c>
      <c r="S3" s="8">
        <f t="shared" ref="S3:S23" si="6">O3*$F$10/$F$4/1000000</f>
        <v>37.645469322115275</v>
      </c>
      <c r="T3">
        <f>($B$3*$B$5/2)*L3-$B$3*L3^2/2</f>
        <v>0</v>
      </c>
      <c r="U3" s="8">
        <f t="shared" ref="U3:U23" si="7">T3/$F$13/1000000</f>
        <v>0</v>
      </c>
    </row>
    <row r="4" spans="1:21" ht="18.75" x14ac:dyDescent="0.35">
      <c r="A4" s="3" t="s">
        <v>2</v>
      </c>
      <c r="B4" s="2">
        <v>0.05</v>
      </c>
      <c r="C4" t="s">
        <v>4</v>
      </c>
      <c r="E4" s="3" t="s">
        <v>31</v>
      </c>
      <c r="F4" s="16">
        <f>_xlfn.XLOOKUP($E$3,IPE!$A:$A,IPE!$O:$O)</f>
        <v>1.2879999999999999E-7</v>
      </c>
      <c r="G4" t="s">
        <v>11</v>
      </c>
      <c r="K4">
        <v>1</v>
      </c>
      <c r="L4">
        <f>$B$5/20*K4</f>
        <v>0.4</v>
      </c>
      <c r="M4" s="8">
        <f t="shared" si="0"/>
        <v>69.915025956614755</v>
      </c>
      <c r="N4" s="8">
        <f t="shared" si="1"/>
        <v>137.73831316250127</v>
      </c>
      <c r="O4" s="8">
        <f t="shared" si="2"/>
        <v>762.2616868374987</v>
      </c>
      <c r="P4" s="8">
        <f t="shared" si="3"/>
        <v>12.782587076918656</v>
      </c>
      <c r="Q4" s="8">
        <f t="shared" si="4"/>
        <v>0.75548222620418792</v>
      </c>
      <c r="R4" s="8">
        <f t="shared" si="5"/>
        <v>57.998171824592305</v>
      </c>
      <c r="S4" s="8">
        <f t="shared" si="6"/>
        <v>36.692720950252266</v>
      </c>
      <c r="T4">
        <f t="shared" ref="T4:T23" si="8">($B$3*$B$5/2)*L4-$B$3*L4^2/2</f>
        <v>7600</v>
      </c>
      <c r="U4" s="8">
        <f t="shared" si="7"/>
        <v>23.435090965155716</v>
      </c>
    </row>
    <row r="5" spans="1:21" ht="18.75" x14ac:dyDescent="0.35">
      <c r="A5" s="3" t="s">
        <v>1</v>
      </c>
      <c r="B5" s="2">
        <v>8</v>
      </c>
      <c r="C5" t="s">
        <v>4</v>
      </c>
      <c r="E5" s="3" t="s">
        <v>32</v>
      </c>
      <c r="F5" s="16">
        <f>_xlfn.XLOOKUP($E$3,IPE!$A:$A,IPE!$T:$T)</f>
        <v>3.7772726784566698E-8</v>
      </c>
      <c r="G5" t="s">
        <v>12</v>
      </c>
      <c r="K5">
        <v>2</v>
      </c>
      <c r="L5">
        <f t="shared" ref="L5:L23" si="9">$B$5/20*K5</f>
        <v>0.8</v>
      </c>
      <c r="M5" s="8">
        <f t="shared" si="0"/>
        <v>114.09622724013546</v>
      </c>
      <c r="N5" s="8">
        <f t="shared" si="1"/>
        <v>87.028083898133616</v>
      </c>
      <c r="O5" s="8">
        <f t="shared" si="2"/>
        <v>712.97191610186644</v>
      </c>
      <c r="P5" s="8">
        <f t="shared" si="3"/>
        <v>20.860250566880389</v>
      </c>
      <c r="Q5" s="8">
        <f t="shared" si="4"/>
        <v>0.4773411918300341</v>
      </c>
      <c r="R5" s="8">
        <f t="shared" si="5"/>
        <v>54.247863181663767</v>
      </c>
      <c r="S5" s="8">
        <f t="shared" si="6"/>
        <v>34.320076706766869</v>
      </c>
      <c r="T5">
        <f t="shared" si="8"/>
        <v>14400</v>
      </c>
      <c r="U5" s="8">
        <f t="shared" si="7"/>
        <v>44.403330249768729</v>
      </c>
    </row>
    <row r="6" spans="1:21" ht="18.75" x14ac:dyDescent="0.35">
      <c r="A6" s="3" t="s">
        <v>7</v>
      </c>
      <c r="B6">
        <f>B3*B4</f>
        <v>250</v>
      </c>
      <c r="C6" t="s">
        <v>5</v>
      </c>
      <c r="E6" s="6" t="s">
        <v>13</v>
      </c>
      <c r="F6">
        <f>SQRT(B11*F4/(B12*F5))</f>
        <v>1.1468368122960264</v>
      </c>
      <c r="G6" t="s">
        <v>14</v>
      </c>
      <c r="K6">
        <v>3</v>
      </c>
      <c r="L6">
        <f t="shared" si="9"/>
        <v>1.2000000000000002</v>
      </c>
      <c r="M6" s="8">
        <f t="shared" si="0"/>
        <v>142.0051787160746</v>
      </c>
      <c r="N6" s="8">
        <f t="shared" si="1"/>
        <v>54.955254869223488</v>
      </c>
      <c r="O6" s="8">
        <f t="shared" si="2"/>
        <v>645.04474513077639</v>
      </c>
      <c r="P6" s="8">
        <f t="shared" si="3"/>
        <v>25.962853299060836</v>
      </c>
      <c r="Q6" s="8">
        <f t="shared" si="4"/>
        <v>0.30142461699264184</v>
      </c>
      <c r="R6" s="8">
        <f t="shared" si="5"/>
        <v>49.079491477341698</v>
      </c>
      <c r="S6" s="8">
        <f t="shared" si="6"/>
        <v>31.050290526481472</v>
      </c>
      <c r="T6">
        <f t="shared" si="8"/>
        <v>20400.000000000004</v>
      </c>
      <c r="U6" s="8">
        <f t="shared" si="7"/>
        <v>62.904717853839045</v>
      </c>
    </row>
    <row r="7" spans="1:21" ht="18" x14ac:dyDescent="0.35">
      <c r="A7" s="3" t="s">
        <v>231</v>
      </c>
      <c r="B7" s="2">
        <v>300</v>
      </c>
      <c r="C7" t="s">
        <v>3</v>
      </c>
      <c r="E7" s="6" t="s">
        <v>33</v>
      </c>
      <c r="F7" s="8">
        <f>_xlfn.XLOOKUP($E$3,IPE!$A:$A,IPE!$B:$B)/1000</f>
        <v>0.12</v>
      </c>
      <c r="G7" t="s">
        <v>4</v>
      </c>
      <c r="K7">
        <v>4</v>
      </c>
      <c r="L7">
        <f t="shared" si="9"/>
        <v>1.6</v>
      </c>
      <c r="M7" s="8">
        <f t="shared" si="0"/>
        <v>159.61869011653965</v>
      </c>
      <c r="N7" s="8">
        <f t="shared" si="1"/>
        <v>34.651305886416182</v>
      </c>
      <c r="O7" s="8">
        <f t="shared" si="2"/>
        <v>565.34869411358375</v>
      </c>
      <c r="P7" s="8">
        <f t="shared" si="3"/>
        <v>29.183137352827142</v>
      </c>
      <c r="Q7" s="8">
        <f t="shared" si="4"/>
        <v>0.19005928786907028</v>
      </c>
      <c r="R7" s="8">
        <f t="shared" si="5"/>
        <v>43.015661508642246</v>
      </c>
      <c r="S7" s="8">
        <f t="shared" si="6"/>
        <v>27.21398993403897</v>
      </c>
      <c r="T7">
        <f t="shared" si="8"/>
        <v>25600</v>
      </c>
      <c r="U7" s="8">
        <f t="shared" si="7"/>
        <v>78.939253777366616</v>
      </c>
    </row>
    <row r="8" spans="1:21" x14ac:dyDescent="0.25">
      <c r="E8" s="6" t="s">
        <v>34</v>
      </c>
      <c r="F8" s="8">
        <f>_xlfn.XLOOKUP($E$3,IPE!$A:$A,IPE!$C:$C)/1000</f>
        <v>0.24</v>
      </c>
      <c r="G8" t="s">
        <v>4</v>
      </c>
      <c r="K8">
        <v>5</v>
      </c>
      <c r="L8">
        <f t="shared" si="9"/>
        <v>2</v>
      </c>
      <c r="M8" s="8">
        <f t="shared" si="0"/>
        <v>170.70876292448304</v>
      </c>
      <c r="N8" s="8">
        <f t="shared" si="1"/>
        <v>21.768067869075217</v>
      </c>
      <c r="O8" s="8">
        <f t="shared" si="2"/>
        <v>478.23193213092475</v>
      </c>
      <c r="P8" s="8">
        <f t="shared" si="3"/>
        <v>31.210738993780151</v>
      </c>
      <c r="Q8" s="8">
        <f t="shared" si="4"/>
        <v>0.11939588917784127</v>
      </c>
      <c r="R8" s="8">
        <f t="shared" si="5"/>
        <v>36.387212227352975</v>
      </c>
      <c r="S8" s="8">
        <f t="shared" si="6"/>
        <v>23.020481205060044</v>
      </c>
      <c r="T8">
        <f t="shared" si="8"/>
        <v>30000</v>
      </c>
      <c r="U8" s="8">
        <f t="shared" si="7"/>
        <v>92.506938020351512</v>
      </c>
    </row>
    <row r="9" spans="1:21" ht="18" x14ac:dyDescent="0.35">
      <c r="A9" s="1" t="s">
        <v>247</v>
      </c>
      <c r="E9" s="6" t="s">
        <v>35</v>
      </c>
      <c r="F9" s="17">
        <f>_xlfn.XLOOKUP($E$3,IPE!$A:$A,IPE!$D:$D)/1000</f>
        <v>9.8000000000000014E-3</v>
      </c>
      <c r="G9" t="s">
        <v>4</v>
      </c>
      <c r="K9">
        <v>6</v>
      </c>
      <c r="L9">
        <f t="shared" si="9"/>
        <v>2.4000000000000004</v>
      </c>
      <c r="M9" s="8">
        <f t="shared" si="0"/>
        <v>177.65037905728141</v>
      </c>
      <c r="N9" s="8">
        <f t="shared" si="1"/>
        <v>13.546545645723597</v>
      </c>
      <c r="O9" s="8">
        <f t="shared" si="2"/>
        <v>386.45345435427629</v>
      </c>
      <c r="P9" s="8">
        <f t="shared" si="3"/>
        <v>32.47987694314029</v>
      </c>
      <c r="Q9" s="8">
        <f t="shared" si="4"/>
        <v>7.4301581214616816E-2</v>
      </c>
      <c r="R9" s="8">
        <f t="shared" si="5"/>
        <v>29.404067179129726</v>
      </c>
      <c r="S9" s="8">
        <f t="shared" si="6"/>
        <v>18.602573113326965</v>
      </c>
      <c r="T9">
        <f t="shared" si="8"/>
        <v>33600</v>
      </c>
      <c r="U9" s="8">
        <f t="shared" si="7"/>
        <v>103.60777058279369</v>
      </c>
    </row>
    <row r="10" spans="1:21" ht="18" x14ac:dyDescent="0.35">
      <c r="A10" s="3" t="s">
        <v>248</v>
      </c>
      <c r="B10" s="2">
        <v>235</v>
      </c>
      <c r="C10" t="s">
        <v>29</v>
      </c>
      <c r="E10" s="6" t="s">
        <v>36</v>
      </c>
      <c r="F10" s="17">
        <f>_xlfn.XLOOKUP($E$3,IPE!$A:$A,IPE!$E:$E)/1000</f>
        <v>6.1999999999999998E-3</v>
      </c>
      <c r="G10" t="s">
        <v>4</v>
      </c>
      <c r="K10">
        <v>7</v>
      </c>
      <c r="L10">
        <f t="shared" si="9"/>
        <v>2.8000000000000003</v>
      </c>
      <c r="M10" s="8">
        <f t="shared" si="0"/>
        <v>181.93011241560004</v>
      </c>
      <c r="N10" s="8">
        <f t="shared" si="1"/>
        <v>8.2260684839036795</v>
      </c>
      <c r="O10" s="8">
        <f t="shared" si="2"/>
        <v>291.77393151609624</v>
      </c>
      <c r="P10" s="8">
        <f t="shared" si="3"/>
        <v>33.262341993681048</v>
      </c>
      <c r="Q10" s="8">
        <f t="shared" si="4"/>
        <v>4.511924379236245E-2</v>
      </c>
      <c r="R10" s="8">
        <f t="shared" si="5"/>
        <v>22.200190441442114</v>
      </c>
      <c r="S10" s="8">
        <f t="shared" si="6"/>
        <v>14.045018442545006</v>
      </c>
      <c r="T10">
        <f t="shared" si="8"/>
        <v>36400</v>
      </c>
      <c r="U10" s="8">
        <f t="shared" si="7"/>
        <v>112.24175146469318</v>
      </c>
    </row>
    <row r="11" spans="1:21" ht="17.25" x14ac:dyDescent="0.25">
      <c r="A11" s="3" t="s">
        <v>8</v>
      </c>
      <c r="B11" s="2">
        <v>81</v>
      </c>
      <c r="C11" t="s">
        <v>9</v>
      </c>
      <c r="E11" s="6" t="s">
        <v>30</v>
      </c>
      <c r="F11">
        <f>(F8-F9)/2*F7/2</f>
        <v>6.9059999999999998E-3</v>
      </c>
      <c r="G11" t="s">
        <v>37</v>
      </c>
      <c r="K11">
        <v>8</v>
      </c>
      <c r="L11">
        <f t="shared" si="9"/>
        <v>3.2</v>
      </c>
      <c r="M11" s="8">
        <f t="shared" si="0"/>
        <v>184.46448442479155</v>
      </c>
      <c r="N11" s="8">
        <f t="shared" si="1"/>
        <v>4.6672356537945383</v>
      </c>
      <c r="O11" s="8">
        <f t="shared" si="2"/>
        <v>195.33276434620538</v>
      </c>
      <c r="P11" s="8">
        <f t="shared" si="3"/>
        <v>33.725702057551992</v>
      </c>
      <c r="Q11" s="8">
        <f t="shared" si="4"/>
        <v>2.5599366661244984E-2</v>
      </c>
      <c r="R11" s="8">
        <f t="shared" si="5"/>
        <v>14.862275548080849</v>
      </c>
      <c r="S11" s="8">
        <f t="shared" si="6"/>
        <v>9.4026641222552279</v>
      </c>
      <c r="T11">
        <f t="shared" si="8"/>
        <v>38400</v>
      </c>
      <c r="U11" s="8">
        <f t="shared" si="7"/>
        <v>118.40888066604994</v>
      </c>
    </row>
    <row r="12" spans="1:21" ht="18.75" x14ac:dyDescent="0.35">
      <c r="A12" s="3" t="s">
        <v>249</v>
      </c>
      <c r="B12" s="2">
        <v>210</v>
      </c>
      <c r="C12" t="s">
        <v>9</v>
      </c>
      <c r="E12" s="6" t="s">
        <v>40</v>
      </c>
      <c r="F12">
        <f>1/16*F7^2*F9*(F8-F9)</f>
        <v>2.0303639999999999E-6</v>
      </c>
      <c r="G12" t="s">
        <v>11</v>
      </c>
      <c r="K12">
        <v>9</v>
      </c>
      <c r="L12">
        <f t="shared" si="9"/>
        <v>3.6</v>
      </c>
      <c r="M12" s="8">
        <f t="shared" si="0"/>
        <v>185.79624063738501</v>
      </c>
      <c r="N12" s="8">
        <f t="shared" si="1"/>
        <v>2.1079093619975859</v>
      </c>
      <c r="O12" s="8">
        <f t="shared" si="2"/>
        <v>97.892090638002387</v>
      </c>
      <c r="P12" s="8">
        <f t="shared" si="3"/>
        <v>33.969187481747745</v>
      </c>
      <c r="Q12" s="8">
        <f t="shared" si="4"/>
        <v>1.1561692755448487E-2</v>
      </c>
      <c r="R12" s="8">
        <f t="shared" si="5"/>
        <v>7.4483112441958355</v>
      </c>
      <c r="S12" s="8">
        <f t="shared" si="6"/>
        <v>4.712196909593283</v>
      </c>
      <c r="T12">
        <f t="shared" si="8"/>
        <v>39600</v>
      </c>
      <c r="U12" s="8">
        <f t="shared" si="7"/>
        <v>122.10915818686401</v>
      </c>
    </row>
    <row r="13" spans="1:21" ht="18.75" x14ac:dyDescent="0.35">
      <c r="A13" s="3" t="s">
        <v>250</v>
      </c>
      <c r="B13" s="2">
        <v>1</v>
      </c>
      <c r="E13" s="6" t="s">
        <v>41</v>
      </c>
      <c r="F13" s="16">
        <f>_xlfn.XLOOKUP($E$3,IPE!$A:$A,IPE!$L:$L)</f>
        <v>3.2430000000000002E-4</v>
      </c>
      <c r="G13" t="s">
        <v>42</v>
      </c>
      <c r="K13">
        <v>10</v>
      </c>
      <c r="L13">
        <f t="shared" si="9"/>
        <v>4</v>
      </c>
      <c r="M13" s="8">
        <f t="shared" si="0"/>
        <v>186.21058178903286</v>
      </c>
      <c r="N13" s="8">
        <f t="shared" si="1"/>
        <v>0</v>
      </c>
      <c r="O13" s="8">
        <f t="shared" si="2"/>
        <v>0</v>
      </c>
      <c r="P13" s="8">
        <f t="shared" si="3"/>
        <v>34.044941610106015</v>
      </c>
      <c r="Q13" s="8">
        <f t="shared" si="4"/>
        <v>0</v>
      </c>
      <c r="R13" s="8">
        <f t="shared" si="5"/>
        <v>0</v>
      </c>
      <c r="S13" s="8">
        <f t="shared" si="6"/>
        <v>0</v>
      </c>
      <c r="T13">
        <f t="shared" si="8"/>
        <v>40000</v>
      </c>
      <c r="U13" s="8">
        <f t="shared" si="7"/>
        <v>123.34258402713536</v>
      </c>
    </row>
    <row r="14" spans="1:21" ht="18.75" x14ac:dyDescent="0.35">
      <c r="E14" s="6" t="s">
        <v>243</v>
      </c>
      <c r="F14" s="16">
        <f>_xlfn.XLOOKUP($E$3,IPE!$A:$A,IPE!$M:$M)</f>
        <v>4.727E-5</v>
      </c>
      <c r="G14" t="s">
        <v>42</v>
      </c>
      <c r="K14">
        <v>11</v>
      </c>
      <c r="L14">
        <f t="shared" si="9"/>
        <v>4.4000000000000004</v>
      </c>
      <c r="M14" s="8">
        <f t="shared" si="0"/>
        <v>185.79624063738501</v>
      </c>
      <c r="N14" s="8">
        <f t="shared" si="1"/>
        <v>-2.1079093619975886</v>
      </c>
      <c r="O14" s="8">
        <f t="shared" si="2"/>
        <v>-97.8920906380025</v>
      </c>
      <c r="P14" s="8">
        <f t="shared" si="3"/>
        <v>33.969187481747745</v>
      </c>
      <c r="Q14" s="8">
        <f t="shared" si="4"/>
        <v>-1.1561692755448499E-2</v>
      </c>
      <c r="R14" s="8">
        <f t="shared" si="5"/>
        <v>-7.4483112441958443</v>
      </c>
      <c r="S14" s="8">
        <f t="shared" si="6"/>
        <v>-4.7121969095932883</v>
      </c>
      <c r="T14">
        <f t="shared" si="8"/>
        <v>39599.999999999993</v>
      </c>
      <c r="U14" s="8">
        <f t="shared" si="7"/>
        <v>122.10915818686399</v>
      </c>
    </row>
    <row r="15" spans="1:21" ht="18.75" x14ac:dyDescent="0.35">
      <c r="E15" s="6" t="s">
        <v>233</v>
      </c>
      <c r="F15" s="16">
        <f>_xlfn.XLOOKUP($E$3,IPE!$A:$A,IPE!$V:$V)</f>
        <v>1.3699999999999999E-3</v>
      </c>
      <c r="G15" t="s">
        <v>37</v>
      </c>
      <c r="K15">
        <v>12</v>
      </c>
      <c r="L15">
        <f t="shared" si="9"/>
        <v>4.8000000000000007</v>
      </c>
      <c r="M15" s="8">
        <f t="shared" si="0"/>
        <v>184.46448442479155</v>
      </c>
      <c r="N15" s="8">
        <f t="shared" si="1"/>
        <v>-4.6672356537945436</v>
      </c>
      <c r="O15" s="8">
        <f t="shared" si="2"/>
        <v>-195.33276434620564</v>
      </c>
      <c r="P15" s="8">
        <f t="shared" si="3"/>
        <v>33.725702057551992</v>
      </c>
      <c r="Q15" s="8">
        <f t="shared" si="4"/>
        <v>-2.5599366661245015E-2</v>
      </c>
      <c r="R15" s="8">
        <f t="shared" si="5"/>
        <v>-14.862275548080866</v>
      </c>
      <c r="S15" s="8">
        <f t="shared" si="6"/>
        <v>-9.4026641222552421</v>
      </c>
      <c r="T15">
        <f t="shared" si="8"/>
        <v>38400</v>
      </c>
      <c r="U15" s="8">
        <f t="shared" si="7"/>
        <v>118.40888066604994</v>
      </c>
    </row>
    <row r="16" spans="1:21" ht="18.75" x14ac:dyDescent="0.35">
      <c r="E16" s="6" t="s">
        <v>234</v>
      </c>
      <c r="F16" s="16">
        <f>_xlfn.XLOOKUP($E$3,IPE!$A:$A,IPE!$U:$U)</f>
        <v>1.9789999999999999E-3</v>
      </c>
      <c r="G16" t="s">
        <v>37</v>
      </c>
      <c r="K16">
        <v>13</v>
      </c>
      <c r="L16">
        <f t="shared" si="9"/>
        <v>5.2</v>
      </c>
      <c r="M16" s="8">
        <f t="shared" si="0"/>
        <v>181.93011241560004</v>
      </c>
      <c r="N16" s="8">
        <f t="shared" si="1"/>
        <v>-8.2260684839036831</v>
      </c>
      <c r="O16" s="8">
        <f t="shared" si="2"/>
        <v>-291.77393151609635</v>
      </c>
      <c r="P16" s="8">
        <f t="shared" si="3"/>
        <v>33.262341993681048</v>
      </c>
      <c r="Q16" s="8">
        <f t="shared" si="4"/>
        <v>-4.5119243792362471E-2</v>
      </c>
      <c r="R16" s="8">
        <f t="shared" si="5"/>
        <v>-22.200190441442118</v>
      </c>
      <c r="S16" s="8">
        <f t="shared" si="6"/>
        <v>-14.045018442545011</v>
      </c>
      <c r="T16">
        <f t="shared" si="8"/>
        <v>36400</v>
      </c>
      <c r="U16" s="8">
        <f t="shared" si="7"/>
        <v>112.24175146469318</v>
      </c>
    </row>
    <row r="17" spans="1:21" x14ac:dyDescent="0.25">
      <c r="K17">
        <v>14</v>
      </c>
      <c r="L17">
        <f t="shared" si="9"/>
        <v>5.6000000000000005</v>
      </c>
      <c r="M17" s="8">
        <f t="shared" si="0"/>
        <v>177.65037905728138</v>
      </c>
      <c r="N17" s="8">
        <f t="shared" si="1"/>
        <v>-13.546545645723613</v>
      </c>
      <c r="O17" s="8">
        <f t="shared" si="2"/>
        <v>-386.45345435427652</v>
      </c>
      <c r="P17" s="8">
        <f t="shared" si="3"/>
        <v>32.479876943140276</v>
      </c>
      <c r="Q17" s="8">
        <f t="shared" si="4"/>
        <v>-7.4301581214616885E-2</v>
      </c>
      <c r="R17" s="8">
        <f t="shared" si="5"/>
        <v>-29.404067179129743</v>
      </c>
      <c r="S17" s="8">
        <f t="shared" si="6"/>
        <v>-18.602573113326979</v>
      </c>
      <c r="T17">
        <f t="shared" si="8"/>
        <v>33600</v>
      </c>
      <c r="U17" s="8">
        <f t="shared" si="7"/>
        <v>103.60777058279369</v>
      </c>
    </row>
    <row r="18" spans="1:21" x14ac:dyDescent="0.25">
      <c r="K18">
        <v>15</v>
      </c>
      <c r="L18">
        <f t="shared" si="9"/>
        <v>6</v>
      </c>
      <c r="M18" s="8">
        <f t="shared" si="0"/>
        <v>170.70876292448304</v>
      </c>
      <c r="N18" s="8">
        <f t="shared" si="1"/>
        <v>-21.768067869075217</v>
      </c>
      <c r="O18" s="8">
        <f t="shared" si="2"/>
        <v>-478.23193213092475</v>
      </c>
      <c r="P18" s="8">
        <f t="shared" si="3"/>
        <v>31.210738993780151</v>
      </c>
      <c r="Q18" s="8">
        <f t="shared" si="4"/>
        <v>-0.11939588917784127</v>
      </c>
      <c r="R18" s="8">
        <f t="shared" si="5"/>
        <v>-36.387212227352975</v>
      </c>
      <c r="S18" s="8">
        <f t="shared" si="6"/>
        <v>-23.020481205060044</v>
      </c>
      <c r="T18">
        <f t="shared" si="8"/>
        <v>30000</v>
      </c>
      <c r="U18" s="8">
        <f t="shared" si="7"/>
        <v>92.506938020351512</v>
      </c>
    </row>
    <row r="19" spans="1:21" x14ac:dyDescent="0.25">
      <c r="K19">
        <v>16</v>
      </c>
      <c r="L19">
        <f t="shared" si="9"/>
        <v>6.4</v>
      </c>
      <c r="M19" s="8">
        <f t="shared" si="0"/>
        <v>159.61869011653965</v>
      </c>
      <c r="N19" s="8">
        <f t="shared" si="1"/>
        <v>-34.651305886416196</v>
      </c>
      <c r="O19" s="8">
        <f t="shared" si="2"/>
        <v>-565.34869411358375</v>
      </c>
      <c r="P19" s="8">
        <f t="shared" si="3"/>
        <v>29.183137352827142</v>
      </c>
      <c r="Q19" s="8">
        <f t="shared" si="4"/>
        <v>-0.19005928786907036</v>
      </c>
      <c r="R19" s="8">
        <f t="shared" si="5"/>
        <v>-43.015661508642246</v>
      </c>
      <c r="S19" s="8">
        <f t="shared" si="6"/>
        <v>-27.21398993403897</v>
      </c>
      <c r="T19">
        <f t="shared" si="8"/>
        <v>25599.999999999985</v>
      </c>
      <c r="U19" s="8">
        <f t="shared" si="7"/>
        <v>78.939253777366574</v>
      </c>
    </row>
    <row r="20" spans="1:21" x14ac:dyDescent="0.25">
      <c r="A20" s="4" t="s">
        <v>15</v>
      </c>
      <c r="K20">
        <v>17</v>
      </c>
      <c r="L20">
        <f t="shared" si="9"/>
        <v>6.8000000000000007</v>
      </c>
      <c r="M20" s="8">
        <f t="shared" si="0"/>
        <v>142.00517871607454</v>
      </c>
      <c r="N20" s="8">
        <f t="shared" si="1"/>
        <v>-54.955254869223552</v>
      </c>
      <c r="O20" s="8">
        <f t="shared" si="2"/>
        <v>-645.04474513077662</v>
      </c>
      <c r="P20" s="8">
        <f t="shared" si="3"/>
        <v>25.962853299060825</v>
      </c>
      <c r="Q20" s="8">
        <f t="shared" si="4"/>
        <v>-0.30142461699264217</v>
      </c>
      <c r="R20" s="8">
        <f t="shared" si="5"/>
        <v>-49.079491477341712</v>
      </c>
      <c r="S20" s="8">
        <f t="shared" si="6"/>
        <v>-31.050290526481483</v>
      </c>
      <c r="T20">
        <f t="shared" si="8"/>
        <v>20399.999999999971</v>
      </c>
      <c r="U20" s="8">
        <f t="shared" si="7"/>
        <v>62.904717853838946</v>
      </c>
    </row>
    <row r="21" spans="1:21" x14ac:dyDescent="0.25">
      <c r="A21" t="s">
        <v>229</v>
      </c>
      <c r="D21" t="s">
        <v>230</v>
      </c>
      <c r="K21">
        <v>18</v>
      </c>
      <c r="L21">
        <f t="shared" si="9"/>
        <v>7.2</v>
      </c>
      <c r="M21" s="8">
        <f t="shared" si="0"/>
        <v>114.09622724013546</v>
      </c>
      <c r="N21" s="8">
        <f t="shared" si="1"/>
        <v>-87.028083898133616</v>
      </c>
      <c r="O21" s="8">
        <f t="shared" si="2"/>
        <v>-712.97191610186644</v>
      </c>
      <c r="P21" s="8">
        <f t="shared" si="3"/>
        <v>20.860250566880389</v>
      </c>
      <c r="Q21" s="8">
        <f t="shared" si="4"/>
        <v>-0.4773411918300341</v>
      </c>
      <c r="R21" s="8">
        <f t="shared" si="5"/>
        <v>-54.247863181663767</v>
      </c>
      <c r="S21" s="8">
        <f t="shared" si="6"/>
        <v>-34.320076706766869</v>
      </c>
      <c r="T21">
        <f t="shared" si="8"/>
        <v>14399.999999999985</v>
      </c>
      <c r="U21" s="8">
        <f t="shared" si="7"/>
        <v>44.403330249768679</v>
      </c>
    </row>
    <row r="22" spans="1:21" x14ac:dyDescent="0.25">
      <c r="A22" s="6" t="s">
        <v>16</v>
      </c>
      <c r="B22" s="2">
        <v>3.1</v>
      </c>
      <c r="D22" s="6" t="s">
        <v>16</v>
      </c>
      <c r="E22" s="2">
        <v>3.1</v>
      </c>
      <c r="K22">
        <v>19</v>
      </c>
      <c r="L22">
        <f t="shared" si="9"/>
        <v>7.6000000000000005</v>
      </c>
      <c r="M22" s="8">
        <f t="shared" si="0"/>
        <v>69.915025956614755</v>
      </c>
      <c r="N22" s="8">
        <f t="shared" si="1"/>
        <v>-137.73831316250127</v>
      </c>
      <c r="O22" s="8">
        <f t="shared" si="2"/>
        <v>-762.2616868374987</v>
      </c>
      <c r="P22" s="8">
        <f t="shared" si="3"/>
        <v>12.782587076918656</v>
      </c>
      <c r="Q22" s="8">
        <f t="shared" si="4"/>
        <v>-0.75548222620418792</v>
      </c>
      <c r="R22" s="8">
        <f t="shared" si="5"/>
        <v>-57.998171824592305</v>
      </c>
      <c r="S22" s="8">
        <f t="shared" si="6"/>
        <v>-36.692720950252266</v>
      </c>
      <c r="T22">
        <f t="shared" si="8"/>
        <v>7600</v>
      </c>
      <c r="U22" s="8">
        <f t="shared" si="7"/>
        <v>23.435090965155716</v>
      </c>
    </row>
    <row r="23" spans="1:21" x14ac:dyDescent="0.25">
      <c r="A23" s="6" t="s">
        <v>17</v>
      </c>
      <c r="B23" s="2">
        <v>1</v>
      </c>
      <c r="D23" s="6" t="s">
        <v>17</v>
      </c>
      <c r="E23" s="2">
        <v>1</v>
      </c>
      <c r="K23">
        <v>20</v>
      </c>
      <c r="L23">
        <f t="shared" si="9"/>
        <v>8</v>
      </c>
      <c r="M23" s="8">
        <f t="shared" si="0"/>
        <v>0</v>
      </c>
      <c r="N23" s="8">
        <f t="shared" si="1"/>
        <v>-217.94573408250858</v>
      </c>
      <c r="O23" s="8">
        <f t="shared" si="2"/>
        <v>-782.05426591749142</v>
      </c>
      <c r="P23" s="8">
        <f t="shared" si="3"/>
        <v>0</v>
      </c>
      <c r="Q23" s="8">
        <f t="shared" si="4"/>
        <v>-1.1954126966990184</v>
      </c>
      <c r="R23" s="8">
        <f t="shared" si="5"/>
        <v>-59.504128928504798</v>
      </c>
      <c r="S23" s="8">
        <f t="shared" si="6"/>
        <v>-37.645469322115275</v>
      </c>
      <c r="T23">
        <f t="shared" si="8"/>
        <v>0</v>
      </c>
      <c r="U23" s="8">
        <f t="shared" si="7"/>
        <v>0</v>
      </c>
    </row>
    <row r="24" spans="1:21" x14ac:dyDescent="0.25">
      <c r="A24" s="6" t="s">
        <v>18</v>
      </c>
      <c r="B24">
        <f>1/(B23+(B22/(F6*B5))^2)</f>
        <v>0.89753160911744745</v>
      </c>
      <c r="E24">
        <f>1/(E23+(E22/(F6*B5))^2)</f>
        <v>0.89753160911744745</v>
      </c>
      <c r="M24" s="8"/>
      <c r="N24" s="8"/>
      <c r="O24" s="8"/>
      <c r="P24" s="8"/>
      <c r="Q24" s="8"/>
      <c r="R24" s="8"/>
      <c r="S24" s="8"/>
      <c r="U24" s="8"/>
    </row>
    <row r="25" spans="1:21" ht="18" x14ac:dyDescent="0.35">
      <c r="A25" s="3" t="s">
        <v>237</v>
      </c>
      <c r="B25">
        <v>0</v>
      </c>
      <c r="C25" t="s">
        <v>19</v>
      </c>
      <c r="D25" s="3" t="s">
        <v>237</v>
      </c>
      <c r="E25">
        <f>B3*B5^2/8</f>
        <v>40000</v>
      </c>
      <c r="F25" t="s">
        <v>19</v>
      </c>
      <c r="M25" s="8"/>
      <c r="N25" s="8"/>
      <c r="O25" s="8"/>
      <c r="P25" s="8"/>
      <c r="Q25" s="8"/>
      <c r="R25" s="8"/>
      <c r="S25" s="8"/>
      <c r="U25" s="8"/>
    </row>
    <row r="26" spans="1:21" ht="18" x14ac:dyDescent="0.35">
      <c r="A26" s="3" t="s">
        <v>238</v>
      </c>
      <c r="B26">
        <f>B3*B5/2</f>
        <v>20000</v>
      </c>
      <c r="C26" t="s">
        <v>20</v>
      </c>
      <c r="D26" s="3" t="s">
        <v>238</v>
      </c>
      <c r="E26">
        <v>0</v>
      </c>
      <c r="F26" t="s">
        <v>20</v>
      </c>
      <c r="M26" s="8"/>
      <c r="N26" s="8"/>
      <c r="O26" s="8"/>
      <c r="P26" s="8"/>
      <c r="Q26" s="8"/>
      <c r="R26" s="8"/>
      <c r="S26" s="8"/>
      <c r="U26" s="8"/>
    </row>
    <row r="27" spans="1:21" ht="17.25" x14ac:dyDescent="0.25">
      <c r="A27" s="3" t="s">
        <v>21</v>
      </c>
      <c r="B27">
        <f>B25*B4*(1-B24)</f>
        <v>0</v>
      </c>
      <c r="C27" t="s">
        <v>23</v>
      </c>
      <c r="D27" s="3" t="s">
        <v>21</v>
      </c>
      <c r="E27">
        <f>E25*B4*(1-E24)</f>
        <v>204.93678176510511</v>
      </c>
      <c r="F27" t="s">
        <v>23</v>
      </c>
      <c r="M27" s="8"/>
      <c r="N27" s="8"/>
      <c r="O27" s="8"/>
      <c r="P27" s="8"/>
      <c r="Q27" s="8"/>
      <c r="R27" s="8"/>
      <c r="S27" s="8"/>
      <c r="U27" s="8"/>
    </row>
    <row r="28" spans="1:21" ht="18" x14ac:dyDescent="0.35">
      <c r="A28" s="3" t="s">
        <v>24</v>
      </c>
      <c r="B28">
        <f>B26*B4*(1-B24)</f>
        <v>102.46839088255255</v>
      </c>
      <c r="C28" t="s">
        <v>19</v>
      </c>
      <c r="D28" s="3" t="s">
        <v>24</v>
      </c>
      <c r="E28">
        <f>E26*B4*(1-E24)</f>
        <v>0</v>
      </c>
      <c r="F28" t="s">
        <v>19</v>
      </c>
      <c r="M28" s="8"/>
      <c r="N28" s="8"/>
      <c r="O28" s="8"/>
      <c r="P28" s="8"/>
      <c r="Q28" s="8"/>
      <c r="R28" s="8"/>
      <c r="S28" s="8"/>
      <c r="U28" s="8"/>
    </row>
    <row r="29" spans="1:21" ht="18" x14ac:dyDescent="0.35">
      <c r="A29" s="3" t="s">
        <v>25</v>
      </c>
      <c r="B29">
        <f>B26*B4*B24</f>
        <v>897.53160911744749</v>
      </c>
      <c r="C29" t="s">
        <v>19</v>
      </c>
      <c r="D29" s="3" t="s">
        <v>25</v>
      </c>
      <c r="E29">
        <f>E26*B4*E24</f>
        <v>0</v>
      </c>
      <c r="F29" t="s">
        <v>19</v>
      </c>
      <c r="M29" s="8"/>
      <c r="N29" s="8"/>
      <c r="O29" s="8"/>
      <c r="P29" s="8"/>
      <c r="Q29" s="8"/>
      <c r="R29" s="8"/>
      <c r="S29" s="8"/>
      <c r="U29" s="8"/>
    </row>
    <row r="30" spans="1:21" ht="18" x14ac:dyDescent="0.35">
      <c r="A30" s="6" t="s">
        <v>27</v>
      </c>
      <c r="B30" s="7">
        <f>B27*$F$11/$F$5/1000000</f>
        <v>0</v>
      </c>
      <c r="C30" t="s">
        <v>29</v>
      </c>
      <c r="D30" s="6" t="s">
        <v>27</v>
      </c>
      <c r="E30" s="7">
        <f>E27*$F$11/$F$5/1000000</f>
        <v>37.468658880303046</v>
      </c>
      <c r="F30" t="s">
        <v>29</v>
      </c>
      <c r="M30" s="8"/>
      <c r="N30" s="8"/>
      <c r="O30" s="8"/>
      <c r="P30" s="8"/>
      <c r="Q30" s="8"/>
      <c r="R30" s="8"/>
      <c r="S30" s="8"/>
      <c r="U30" s="8"/>
    </row>
    <row r="31" spans="1:21" ht="18" x14ac:dyDescent="0.35">
      <c r="A31" s="3" t="s">
        <v>28</v>
      </c>
      <c r="B31" s="7">
        <f>B28*$F$12/($F$5*$F$9)/1000000</f>
        <v>0.56202988320454561</v>
      </c>
      <c r="C31" t="s">
        <v>29</v>
      </c>
      <c r="D31" s="3" t="s">
        <v>28</v>
      </c>
      <c r="E31" s="7">
        <f>E28*$F$12/($F$5*$F$9)/1000000</f>
        <v>0</v>
      </c>
      <c r="F31" t="s">
        <v>29</v>
      </c>
      <c r="M31" s="8"/>
      <c r="N31" s="8"/>
      <c r="O31" s="8"/>
      <c r="P31" s="8"/>
      <c r="Q31" s="8"/>
      <c r="R31" s="8"/>
      <c r="S31" s="8"/>
      <c r="U31" s="8"/>
    </row>
    <row r="32" spans="1:21" ht="18" x14ac:dyDescent="0.35">
      <c r="A32" s="3" t="s">
        <v>38</v>
      </c>
      <c r="B32" s="7">
        <f>B29*$F$9/$F$4/1000000</f>
        <v>68.290448519805807</v>
      </c>
      <c r="C32" t="s">
        <v>29</v>
      </c>
      <c r="D32" s="3" t="s">
        <v>38</v>
      </c>
      <c r="E32" s="7">
        <f>E29*$F$9/$F$4/1000000</f>
        <v>0</v>
      </c>
      <c r="F32" t="s">
        <v>29</v>
      </c>
      <c r="M32" s="8"/>
      <c r="N32" s="8"/>
      <c r="O32" s="8"/>
      <c r="P32" s="8"/>
      <c r="Q32" s="8"/>
      <c r="R32" s="8"/>
      <c r="S32" s="8"/>
      <c r="U32" s="8"/>
    </row>
    <row r="33" spans="1:6" ht="18" x14ac:dyDescent="0.35">
      <c r="A33" s="3" t="s">
        <v>39</v>
      </c>
      <c r="B33" s="7">
        <f>B29*$F$10/$F$4/1000000</f>
        <v>43.204161308448562</v>
      </c>
      <c r="C33" t="s">
        <v>29</v>
      </c>
      <c r="D33" s="3" t="s">
        <v>39</v>
      </c>
      <c r="E33" s="7">
        <f>E29*$F$10/$F$4/1000000</f>
        <v>0</v>
      </c>
      <c r="F33" t="s">
        <v>29</v>
      </c>
    </row>
    <row r="34" spans="1:6" x14ac:dyDescent="0.25">
      <c r="E34" s="7"/>
    </row>
    <row r="35" spans="1:6" x14ac:dyDescent="0.25">
      <c r="A35" s="4" t="s">
        <v>26</v>
      </c>
      <c r="E35" s="7"/>
    </row>
    <row r="36" spans="1:6" x14ac:dyDescent="0.25">
      <c r="A36" t="s">
        <v>229</v>
      </c>
      <c r="D36" t="s">
        <v>230</v>
      </c>
    </row>
    <row r="37" spans="1:6" x14ac:dyDescent="0.25">
      <c r="A37" s="3" t="s">
        <v>6</v>
      </c>
      <c r="B37" s="2">
        <v>0</v>
      </c>
      <c r="C37" t="s">
        <v>4</v>
      </c>
      <c r="D37" s="3" t="s">
        <v>6</v>
      </c>
      <c r="E37" s="2">
        <f>B5/2</f>
        <v>4</v>
      </c>
      <c r="F37" t="s">
        <v>4</v>
      </c>
    </row>
    <row r="38" spans="1:6" ht="17.25" x14ac:dyDescent="0.25">
      <c r="A38" s="3" t="s">
        <v>21</v>
      </c>
      <c r="B38" s="7">
        <f>$B$6/$F$6^2*(1-COSH($F$6*($B$5/2-B37))/COSH($F$6*$B$5/2))</f>
        <v>0</v>
      </c>
      <c r="C38" t="s">
        <v>23</v>
      </c>
      <c r="D38" s="3" t="s">
        <v>21</v>
      </c>
      <c r="E38" s="7">
        <f>$B$6/$F$6^2*(1-COSH($F$6*($B$5/2-E37))/COSH($F$6*$B$5/2))</f>
        <v>186.21058178903286</v>
      </c>
      <c r="F38" t="s">
        <v>23</v>
      </c>
    </row>
    <row r="39" spans="1:6" ht="18" x14ac:dyDescent="0.35">
      <c r="A39" s="3" t="s">
        <v>24</v>
      </c>
      <c r="B39" s="7">
        <f>$B$6/$F$6*SINH($F$6*($B$5/2-B37))/COSH($F$6*$B$5/2)</f>
        <v>217.94573408250858</v>
      </c>
      <c r="C39" t="s">
        <v>19</v>
      </c>
      <c r="D39" s="3" t="s">
        <v>24</v>
      </c>
      <c r="E39" s="7">
        <f>$B$6/$F$6*SINH($F$6*($B$5/2-E37))/COSH($F$6*$B$5/2)</f>
        <v>0</v>
      </c>
      <c r="F39" t="s">
        <v>19</v>
      </c>
    </row>
    <row r="40" spans="1:6" ht="18" x14ac:dyDescent="0.35">
      <c r="A40" s="3" t="s">
        <v>25</v>
      </c>
      <c r="B40" s="7">
        <f>$B$6/$F$6*($F$6*($B$5/2-B37)-SINH($F$6*($B$5/2-B37))/COSH($F$6*$B$5/2))</f>
        <v>782.05426591749142</v>
      </c>
      <c r="C40" t="s">
        <v>19</v>
      </c>
      <c r="D40" s="3" t="s">
        <v>25</v>
      </c>
      <c r="E40" s="7">
        <f>$B$6/$F$6*($F$6*($B$5/2-E37)-SINH($F$6*($B$5/2-E37))/COSH($F$6*$B$5/2))</f>
        <v>0</v>
      </c>
      <c r="F40" t="s">
        <v>19</v>
      </c>
    </row>
    <row r="41" spans="1:6" ht="18" x14ac:dyDescent="0.35">
      <c r="A41" s="6" t="s">
        <v>27</v>
      </c>
      <c r="B41" s="7">
        <f>B38*$F$11/$F$5/1000000</f>
        <v>0</v>
      </c>
      <c r="C41" t="s">
        <v>29</v>
      </c>
      <c r="D41" s="6" t="s">
        <v>27</v>
      </c>
      <c r="E41" s="7">
        <f>E38*$F$11/$F$5/1000000</f>
        <v>34.044941610106015</v>
      </c>
      <c r="F41" t="s">
        <v>29</v>
      </c>
    </row>
    <row r="42" spans="1:6" ht="18" x14ac:dyDescent="0.35">
      <c r="A42" s="3" t="s">
        <v>28</v>
      </c>
      <c r="B42" s="7">
        <f>B39*$F$12/($F$5*$F$9)/1000000</f>
        <v>1.1954126966990184</v>
      </c>
      <c r="C42" t="s">
        <v>29</v>
      </c>
      <c r="D42" s="3" t="s">
        <v>28</v>
      </c>
      <c r="E42" s="7">
        <f>E39*$F$12/($F$5*$F$9)/1000000</f>
        <v>0</v>
      </c>
      <c r="F42" t="s">
        <v>29</v>
      </c>
    </row>
    <row r="43" spans="1:6" ht="18" x14ac:dyDescent="0.35">
      <c r="A43" s="3" t="s">
        <v>38</v>
      </c>
      <c r="B43" s="7">
        <f>B40*$F$9/$F$4/1000000</f>
        <v>59.504128928504798</v>
      </c>
      <c r="C43" t="s">
        <v>29</v>
      </c>
      <c r="D43" s="3" t="s">
        <v>38</v>
      </c>
      <c r="E43" s="7">
        <f>E40*$F$9/$F$4/1000000</f>
        <v>0</v>
      </c>
      <c r="F43" t="s">
        <v>29</v>
      </c>
    </row>
    <row r="44" spans="1:6" ht="18" x14ac:dyDescent="0.35">
      <c r="A44" s="3" t="s">
        <v>39</v>
      </c>
      <c r="B44" s="7">
        <f>B40*$F$10/$F$4/1000000</f>
        <v>37.645469322115275</v>
      </c>
      <c r="C44" t="s">
        <v>29</v>
      </c>
      <c r="D44" s="3" t="s">
        <v>39</v>
      </c>
      <c r="E44" s="7">
        <f>E40*$F$10/$F$4/1000000</f>
        <v>0</v>
      </c>
      <c r="F44" t="s">
        <v>29</v>
      </c>
    </row>
    <row r="46" spans="1:6" x14ac:dyDescent="0.25">
      <c r="A46" s="1" t="s">
        <v>44</v>
      </c>
    </row>
    <row r="47" spans="1:6" ht="18" x14ac:dyDescent="0.35">
      <c r="A47" s="3" t="s">
        <v>235</v>
      </c>
      <c r="B47" s="7">
        <f>B26/$F$15/1000000</f>
        <v>14.598540145985401</v>
      </c>
      <c r="C47" t="s">
        <v>29</v>
      </c>
      <c r="D47" s="3" t="s">
        <v>235</v>
      </c>
      <c r="E47" s="7">
        <f>E26/$F$15/1000000</f>
        <v>0</v>
      </c>
      <c r="F47" t="s">
        <v>29</v>
      </c>
    </row>
    <row r="48" spans="1:6" ht="18" x14ac:dyDescent="0.35">
      <c r="A48" s="3" t="s">
        <v>239</v>
      </c>
      <c r="B48" s="9">
        <f>B7*B5/2</f>
        <v>1200</v>
      </c>
      <c r="C48" t="s">
        <v>20</v>
      </c>
      <c r="D48" s="3" t="s">
        <v>239</v>
      </c>
      <c r="E48" s="9">
        <v>0</v>
      </c>
      <c r="F48" t="s">
        <v>20</v>
      </c>
    </row>
    <row r="49" spans="1:7" ht="18" x14ac:dyDescent="0.35">
      <c r="A49" s="3" t="s">
        <v>236</v>
      </c>
      <c r="B49" s="7">
        <f>B48/$F$16/1000000</f>
        <v>0.60636685194542705</v>
      </c>
      <c r="C49" t="s">
        <v>29</v>
      </c>
      <c r="D49" s="3" t="s">
        <v>236</v>
      </c>
      <c r="E49" s="7">
        <f>E48/$F$16/1000000</f>
        <v>0</v>
      </c>
      <c r="F49" t="s">
        <v>29</v>
      </c>
    </row>
    <row r="51" spans="1:7" x14ac:dyDescent="0.25">
      <c r="A51" s="1" t="s">
        <v>45</v>
      </c>
    </row>
    <row r="52" spans="1:7" ht="18" x14ac:dyDescent="0.35">
      <c r="A52" s="6" t="s">
        <v>241</v>
      </c>
      <c r="B52" s="7">
        <f>B25/F13/1000000</f>
        <v>0</v>
      </c>
      <c r="C52" t="s">
        <v>29</v>
      </c>
      <c r="D52" s="6" t="s">
        <v>241</v>
      </c>
      <c r="E52" s="7">
        <f>E25/F13/1000000</f>
        <v>123.34258402713536</v>
      </c>
      <c r="F52" t="s">
        <v>29</v>
      </c>
    </row>
    <row r="53" spans="1:7" ht="18" x14ac:dyDescent="0.35">
      <c r="A53" s="3" t="s">
        <v>240</v>
      </c>
      <c r="B53" s="7">
        <v>0</v>
      </c>
      <c r="C53" t="s">
        <v>19</v>
      </c>
      <c r="D53" s="3" t="s">
        <v>240</v>
      </c>
      <c r="E53" s="9">
        <f>B7*B5^2/8</f>
        <v>2400</v>
      </c>
      <c r="F53" t="s">
        <v>19</v>
      </c>
    </row>
    <row r="54" spans="1:7" ht="18" x14ac:dyDescent="0.35">
      <c r="A54" s="6" t="s">
        <v>242</v>
      </c>
      <c r="B54" s="7">
        <f>B53/$F$14/1000000</f>
        <v>0</v>
      </c>
      <c r="C54" t="s">
        <v>29</v>
      </c>
      <c r="D54" s="6" t="s">
        <v>242</v>
      </c>
      <c r="E54" s="7">
        <f>E53/$F$14/1000000</f>
        <v>50.772159932303786</v>
      </c>
      <c r="F54" t="s">
        <v>29</v>
      </c>
    </row>
    <row r="56" spans="1:7" x14ac:dyDescent="0.25">
      <c r="A56" s="1" t="s">
        <v>46</v>
      </c>
    </row>
    <row r="57" spans="1:7" x14ac:dyDescent="0.25">
      <c r="A57" s="6" t="s">
        <v>47</v>
      </c>
      <c r="B57" s="7">
        <f>E52+E41+E54</f>
        <v>208.15968556954516</v>
      </c>
      <c r="C57" t="s">
        <v>29</v>
      </c>
      <c r="D57" s="10" t="s">
        <v>244</v>
      </c>
      <c r="E57">
        <f>B10/B13</f>
        <v>235</v>
      </c>
      <c r="F57" t="s">
        <v>29</v>
      </c>
      <c r="G57" t="s">
        <v>22</v>
      </c>
    </row>
    <row r="58" spans="1:7" ht="18" x14ac:dyDescent="0.35">
      <c r="A58" s="6" t="s">
        <v>48</v>
      </c>
      <c r="B58" s="7">
        <f>B47+B44</f>
        <v>52.244009468100678</v>
      </c>
      <c r="C58" t="s">
        <v>29</v>
      </c>
      <c r="D58" s="10" t="s">
        <v>244</v>
      </c>
      <c r="E58">
        <f>B10/SQRT(3)/B13</f>
        <v>135.67731325956206</v>
      </c>
      <c r="F58" t="s">
        <v>29</v>
      </c>
      <c r="G58" t="s">
        <v>49</v>
      </c>
    </row>
    <row r="59" spans="1:7" ht="18" x14ac:dyDescent="0.35">
      <c r="A59" s="6" t="s">
        <v>51</v>
      </c>
      <c r="B59" s="7">
        <f>B43+B42+B49</f>
        <v>61.305908477149238</v>
      </c>
      <c r="C59" t="s">
        <v>29</v>
      </c>
      <c r="D59" s="10" t="s">
        <v>244</v>
      </c>
      <c r="E59">
        <f>B10/SQRT(3)/B13</f>
        <v>135.67731325956206</v>
      </c>
      <c r="F59" t="s">
        <v>29</v>
      </c>
      <c r="G59" t="s">
        <v>50</v>
      </c>
    </row>
  </sheetData>
  <mergeCells count="2">
    <mergeCell ref="T1:U1"/>
    <mergeCell ref="M1:S1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5AEB-D9B8-4D02-85D5-7019941661B8}">
  <dimension ref="A1:S38"/>
  <sheetViews>
    <sheetView zoomScale="85" zoomScaleNormal="85" workbookViewId="0">
      <selection activeCell="F8" sqref="F8"/>
    </sheetView>
  </sheetViews>
  <sheetFormatPr defaultRowHeight="15" x14ac:dyDescent="0.25"/>
  <cols>
    <col min="2" max="2" width="12.5703125" bestFit="1" customWidth="1"/>
    <col min="5" max="5" width="10.5703125" bestFit="1" customWidth="1"/>
    <col min="6" max="6" width="12" bestFit="1" customWidth="1"/>
    <col min="13" max="13" width="10.28515625" bestFit="1" customWidth="1"/>
    <col min="14" max="15" width="9.5703125" bestFit="1" customWidth="1"/>
    <col min="16" max="19" width="9.28515625" bestFit="1" customWidth="1"/>
  </cols>
  <sheetData>
    <row r="1" spans="1:19" x14ac:dyDescent="0.25">
      <c r="A1" s="1" t="s">
        <v>0</v>
      </c>
    </row>
    <row r="2" spans="1:19" ht="18" x14ac:dyDescent="0.35">
      <c r="L2" s="3" t="s">
        <v>6</v>
      </c>
      <c r="M2" s="3" t="s">
        <v>72</v>
      </c>
      <c r="N2" s="3" t="s">
        <v>73</v>
      </c>
      <c r="O2" s="3" t="s">
        <v>74</v>
      </c>
      <c r="P2" s="6" t="s">
        <v>71</v>
      </c>
      <c r="Q2" s="3" t="s">
        <v>68</v>
      </c>
      <c r="R2" s="3" t="s">
        <v>69</v>
      </c>
      <c r="S2" s="3" t="s">
        <v>70</v>
      </c>
    </row>
    <row r="3" spans="1:19" x14ac:dyDescent="0.25">
      <c r="A3" s="3" t="s">
        <v>66</v>
      </c>
      <c r="B3" s="2">
        <v>30000</v>
      </c>
      <c r="C3" t="s">
        <v>19</v>
      </c>
      <c r="E3" s="2" t="s">
        <v>52</v>
      </c>
      <c r="K3">
        <v>0</v>
      </c>
      <c r="L3">
        <v>0</v>
      </c>
      <c r="M3" s="9">
        <f>-$B$3*$B$5/$F$8*(SINH($F$8*(1-L3/$B$5))/COSH($F$8))</f>
        <v>-42572.052959899091</v>
      </c>
      <c r="N3" s="9">
        <f>$B$3*(COSH($F$8*(1-L3/$B$5))/COSH($F$8))</f>
        <v>30000</v>
      </c>
      <c r="O3" s="9">
        <f>$B$3*(1-COSH($F$8*(1-L3/$B$5))/COSH($F$8))</f>
        <v>0</v>
      </c>
      <c r="P3" s="9">
        <f>M3*$F$13/$F$7/1000000</f>
        <v>-314.27536478250119</v>
      </c>
      <c r="Q3" s="9">
        <f>N3*$F$14/($F$7*$F$11)/1000000</f>
        <v>16.609947643979059</v>
      </c>
      <c r="R3" s="9">
        <f>O3*$F$11/$F$6/1000000</f>
        <v>0</v>
      </c>
      <c r="S3" s="9">
        <f>O3*$F$12/$F$6/1000000</f>
        <v>0</v>
      </c>
    </row>
    <row r="4" spans="1:19" x14ac:dyDescent="0.25">
      <c r="A4" s="3"/>
      <c r="B4" s="2"/>
      <c r="E4" s="3" t="s">
        <v>8</v>
      </c>
      <c r="F4" s="2">
        <v>81</v>
      </c>
      <c r="G4" t="s">
        <v>9</v>
      </c>
      <c r="K4">
        <v>1</v>
      </c>
      <c r="L4">
        <f>$B$5/20*K4</f>
        <v>0.10500000000000001</v>
      </c>
      <c r="M4" s="9">
        <f t="shared" ref="M4:M23" si="0">-$B$3*$B$5/$F$8*(SINH($F$8*(1-L4/$B$5))/COSH($F$8))</f>
        <v>-39504.357663184506</v>
      </c>
      <c r="N4" s="9">
        <f t="shared" ref="N4:N23" si="1">$B$3*(COSH($F$8*(1-L4/$B$5))/COSH($F$8))</f>
        <v>28451.58766163958</v>
      </c>
      <c r="O4" s="9">
        <f t="shared" ref="O4:O23" si="2">$B$3*(1-COSH($F$8*(1-L4/$B$5))/COSH($F$8))</f>
        <v>1548.4123383604187</v>
      </c>
      <c r="P4" s="9">
        <f t="shared" ref="P4:P23" si="3">M4*$F$13/$F$7/1000000</f>
        <v>-291.62902777534117</v>
      </c>
      <c r="Q4" s="9">
        <f t="shared" ref="Q4:Q23" si="4">N4*$F$14/($F$7*$F$11)/1000000</f>
        <v>15.7526460482638</v>
      </c>
      <c r="R4" s="9">
        <f t="shared" ref="R4:R23" si="5">O4*$F$11/$F$6/1000000</f>
        <v>10.438734865351138</v>
      </c>
      <c r="S4" s="9">
        <f t="shared" ref="S4:S23" si="6">O4*$F$12/$F$6/1000000</f>
        <v>5.8717883617600153</v>
      </c>
    </row>
    <row r="5" spans="1:19" x14ac:dyDescent="0.25">
      <c r="A5" s="3" t="s">
        <v>1</v>
      </c>
      <c r="B5" s="2">
        <f>F10*5.25</f>
        <v>2.1</v>
      </c>
      <c r="C5" t="s">
        <v>4</v>
      </c>
      <c r="E5" s="3" t="s">
        <v>10</v>
      </c>
      <c r="F5" s="2">
        <v>210</v>
      </c>
      <c r="G5" t="s">
        <v>9</v>
      </c>
      <c r="K5">
        <v>2</v>
      </c>
      <c r="L5">
        <f t="shared" ref="L5:L23" si="7">$B$5/20*K5</f>
        <v>0.21000000000000002</v>
      </c>
      <c r="M5" s="9">
        <f t="shared" si="0"/>
        <v>-36593.272328851192</v>
      </c>
      <c r="N5" s="9">
        <f t="shared" si="1"/>
        <v>27015.967995707033</v>
      </c>
      <c r="O5" s="9">
        <f t="shared" si="2"/>
        <v>2984.032004292967</v>
      </c>
      <c r="P5" s="9">
        <f t="shared" si="3"/>
        <v>-270.1388166684826</v>
      </c>
      <c r="Q5" s="9">
        <f t="shared" si="4"/>
        <v>14.957793798670256</v>
      </c>
      <c r="R5" s="9">
        <f t="shared" si="5"/>
        <v>20.117069691862699</v>
      </c>
      <c r="S5" s="9">
        <f t="shared" si="6"/>
        <v>11.315851701672768</v>
      </c>
    </row>
    <row r="6" spans="1:19" ht="18.75" x14ac:dyDescent="0.35">
      <c r="A6" s="3" t="s">
        <v>6</v>
      </c>
      <c r="B6" s="2">
        <v>0</v>
      </c>
      <c r="C6" t="s">
        <v>4</v>
      </c>
      <c r="E6" s="3" t="s">
        <v>31</v>
      </c>
      <c r="F6" s="5">
        <v>3.5599999999999998E-6</v>
      </c>
      <c r="G6" t="s">
        <v>11</v>
      </c>
      <c r="K6">
        <v>3</v>
      </c>
      <c r="L6">
        <f t="shared" si="7"/>
        <v>0.31500000000000006</v>
      </c>
      <c r="M6" s="9">
        <f t="shared" si="0"/>
        <v>-33827.256332227167</v>
      </c>
      <c r="N6" s="9">
        <f t="shared" si="1"/>
        <v>25687.449672051069</v>
      </c>
      <c r="O6" s="9">
        <f t="shared" si="2"/>
        <v>4312.550327948933</v>
      </c>
      <c r="P6" s="9">
        <f t="shared" si="3"/>
        <v>-249.71953627455659</v>
      </c>
      <c r="Q6" s="9">
        <f t="shared" si="4"/>
        <v>14.222239805337178</v>
      </c>
      <c r="R6" s="9">
        <f t="shared" si="5"/>
        <v>29.073372997408541</v>
      </c>
      <c r="S6" s="9">
        <f t="shared" si="6"/>
        <v>16.353772311042302</v>
      </c>
    </row>
    <row r="7" spans="1:19" ht="18.75" x14ac:dyDescent="0.35">
      <c r="A7" s="3" t="s">
        <v>7</v>
      </c>
      <c r="B7">
        <f>B3*B4</f>
        <v>0</v>
      </c>
      <c r="C7" t="s">
        <v>5</v>
      </c>
      <c r="E7" s="3" t="s">
        <v>32</v>
      </c>
      <c r="F7" s="5">
        <v>3.8199999999999998E-6</v>
      </c>
      <c r="G7" t="s">
        <v>12</v>
      </c>
      <c r="K7">
        <v>4</v>
      </c>
      <c r="L7">
        <f t="shared" si="7"/>
        <v>0.42000000000000004</v>
      </c>
      <c r="M7" s="9">
        <f t="shared" si="0"/>
        <v>-31195.344157435175</v>
      </c>
      <c r="N7" s="9">
        <f t="shared" si="1"/>
        <v>24460.765950063877</v>
      </c>
      <c r="O7" s="9">
        <f t="shared" si="2"/>
        <v>5539.2340499361244</v>
      </c>
      <c r="P7" s="9">
        <f t="shared" si="3"/>
        <v>-230.29023697373611</v>
      </c>
      <c r="Q7" s="9">
        <f t="shared" si="4"/>
        <v>13.543068058739554</v>
      </c>
      <c r="R7" s="9">
        <f t="shared" si="5"/>
        <v>37.343150898445785</v>
      </c>
      <c r="S7" s="9">
        <f t="shared" si="6"/>
        <v>21.005522380375755</v>
      </c>
    </row>
    <row r="8" spans="1:19" ht="18" x14ac:dyDescent="0.35">
      <c r="E8" s="6" t="s">
        <v>67</v>
      </c>
      <c r="F8" s="7">
        <f>B5*SQRT(F4*F6/(F5*F7))</f>
        <v>1.2590572389252415</v>
      </c>
      <c r="K8">
        <v>5</v>
      </c>
      <c r="L8">
        <f t="shared" si="7"/>
        <v>0.52500000000000002</v>
      </c>
      <c r="M8" s="9">
        <f t="shared" si="0"/>
        <v>-28687.101926010444</v>
      </c>
      <c r="N8" s="9">
        <f t="shared" si="1"/>
        <v>23331.053799363028</v>
      </c>
      <c r="O8" s="9">
        <f t="shared" si="2"/>
        <v>6668.946200636974</v>
      </c>
      <c r="P8" s="9">
        <f t="shared" si="3"/>
        <v>-211.77389379934411</v>
      </c>
      <c r="Q8" s="9">
        <f t="shared" si="4"/>
        <v>12.917586069542621</v>
      </c>
      <c r="R8" s="9">
        <f t="shared" si="5"/>
        <v>44.959187869462745</v>
      </c>
      <c r="S8" s="9">
        <f t="shared" si="6"/>
        <v>25.289543176572796</v>
      </c>
    </row>
    <row r="9" spans="1:19" x14ac:dyDescent="0.25">
      <c r="E9" s="6" t="s">
        <v>33</v>
      </c>
      <c r="F9" s="2">
        <v>0.3</v>
      </c>
      <c r="G9" t="s">
        <v>4</v>
      </c>
      <c r="K9">
        <v>6</v>
      </c>
      <c r="L9">
        <f t="shared" si="7"/>
        <v>0.63000000000000012</v>
      </c>
      <c r="M9" s="9">
        <f t="shared" si="0"/>
        <v>-26292.586033127052</v>
      </c>
      <c r="N9" s="9">
        <f t="shared" si="1"/>
        <v>22293.83462093088</v>
      </c>
      <c r="O9" s="9">
        <f t="shared" si="2"/>
        <v>7706.1653790691198</v>
      </c>
      <c r="P9" s="9">
        <f t="shared" si="3"/>
        <v>-194.09710108224684</v>
      </c>
      <c r="Q9" s="9">
        <f t="shared" si="4"/>
        <v>12.343314194572988</v>
      </c>
      <c r="R9" s="9">
        <f t="shared" si="5"/>
        <v>51.951676712825531</v>
      </c>
      <c r="S9" s="9">
        <f t="shared" si="6"/>
        <v>29.222818150964361</v>
      </c>
    </row>
    <row r="10" spans="1:19" x14ac:dyDescent="0.25">
      <c r="E10" s="6" t="s">
        <v>34</v>
      </c>
      <c r="F10" s="2">
        <v>0.4</v>
      </c>
      <c r="G10" t="s">
        <v>4</v>
      </c>
      <c r="K10">
        <v>7</v>
      </c>
      <c r="L10">
        <f t="shared" si="7"/>
        <v>0.7350000000000001</v>
      </c>
      <c r="M10" s="9">
        <f t="shared" si="0"/>
        <v>-24002.303727450955</v>
      </c>
      <c r="N10" s="9">
        <f t="shared" si="1"/>
        <v>21344.996492282822</v>
      </c>
      <c r="O10" s="9">
        <f t="shared" si="2"/>
        <v>8655.0035077171797</v>
      </c>
      <c r="P10" s="9">
        <f t="shared" si="3"/>
        <v>-177.18978144348608</v>
      </c>
      <c r="Q10" s="9">
        <f t="shared" si="4"/>
        <v>11.817975806591145</v>
      </c>
      <c r="R10" s="9">
        <f t="shared" si="5"/>
        <v>58.348338254273131</v>
      </c>
      <c r="S10" s="9">
        <f t="shared" si="6"/>
        <v>32.820940268028629</v>
      </c>
    </row>
    <row r="11" spans="1:19" ht="18" x14ac:dyDescent="0.35">
      <c r="E11" s="6" t="s">
        <v>35</v>
      </c>
      <c r="F11" s="2">
        <v>2.4E-2</v>
      </c>
      <c r="G11" t="s">
        <v>4</v>
      </c>
      <c r="K11">
        <v>8</v>
      </c>
      <c r="L11">
        <f t="shared" si="7"/>
        <v>0.84000000000000008</v>
      </c>
      <c r="M11" s="9">
        <f t="shared" si="0"/>
        <v>-21807.175478344256</v>
      </c>
      <c r="N11" s="9">
        <f t="shared" si="1"/>
        <v>20480.777866277644</v>
      </c>
      <c r="O11" s="9">
        <f t="shared" si="2"/>
        <v>9519.2221337223564</v>
      </c>
      <c r="P11" s="9">
        <f t="shared" si="3"/>
        <v>-160.98490798149422</v>
      </c>
      <c r="Q11" s="9">
        <f t="shared" si="4"/>
        <v>11.339488268894561</v>
      </c>
      <c r="R11" s="9">
        <f t="shared" si="5"/>
        <v>64.174531238577686</v>
      </c>
      <c r="S11" s="9">
        <f t="shared" si="6"/>
        <v>36.098173821699945</v>
      </c>
    </row>
    <row r="12" spans="1:19" ht="18" x14ac:dyDescent="0.35">
      <c r="E12" s="6" t="s">
        <v>36</v>
      </c>
      <c r="F12" s="2">
        <v>1.35E-2</v>
      </c>
      <c r="G12" t="s">
        <v>4</v>
      </c>
      <c r="K12">
        <v>9</v>
      </c>
      <c r="L12">
        <f t="shared" si="7"/>
        <v>0.94500000000000006</v>
      </c>
      <c r="M12" s="9">
        <f t="shared" si="0"/>
        <v>-19698.498981229677</v>
      </c>
      <c r="N12" s="9">
        <f t="shared" si="1"/>
        <v>19697.752658946025</v>
      </c>
      <c r="O12" s="9">
        <f t="shared" si="2"/>
        <v>10302.247341053977</v>
      </c>
      <c r="P12" s="9">
        <f t="shared" si="3"/>
        <v>-145.41823855253321</v>
      </c>
      <c r="Q12" s="9">
        <f t="shared" si="4"/>
        <v>10.905954678971424</v>
      </c>
      <c r="R12" s="9">
        <f t="shared" si="5"/>
        <v>69.453352861038056</v>
      </c>
      <c r="S12" s="9">
        <f t="shared" si="6"/>
        <v>39.067510984333907</v>
      </c>
    </row>
    <row r="13" spans="1:19" ht="17.25" x14ac:dyDescent="0.25">
      <c r="E13" s="6" t="s">
        <v>30</v>
      </c>
      <c r="F13">
        <f>(F10-F11)/2*F9/2</f>
        <v>2.8199999999999999E-2</v>
      </c>
      <c r="G13" t="s">
        <v>37</v>
      </c>
      <c r="K13">
        <v>10</v>
      </c>
      <c r="L13">
        <f t="shared" si="7"/>
        <v>1.05</v>
      </c>
      <c r="M13" s="9">
        <f t="shared" si="0"/>
        <v>-17667.914658419522</v>
      </c>
      <c r="N13" s="9">
        <f t="shared" si="1"/>
        <v>18992.816667219802</v>
      </c>
      <c r="O13" s="9">
        <f t="shared" si="2"/>
        <v>11007.183332780198</v>
      </c>
      <c r="P13" s="9">
        <f t="shared" si="3"/>
        <v>-130.42806109095039</v>
      </c>
      <c r="Q13" s="9">
        <f t="shared" si="4"/>
        <v>10.51565634847379</v>
      </c>
      <c r="R13" s="9">
        <f t="shared" si="5"/>
        <v>74.205730333349663</v>
      </c>
      <c r="S13" s="9">
        <f t="shared" si="6"/>
        <v>41.740723312509182</v>
      </c>
    </row>
    <row r="14" spans="1:19" ht="18.75" x14ac:dyDescent="0.35">
      <c r="A14" s="4"/>
      <c r="B14" s="19"/>
      <c r="E14" s="6" t="s">
        <v>40</v>
      </c>
      <c r="F14">
        <f>1/16*F9^2*F11*(F10-F11)</f>
        <v>5.0760000000000002E-5</v>
      </c>
      <c r="G14" t="s">
        <v>11</v>
      </c>
      <c r="K14">
        <v>11</v>
      </c>
      <c r="L14">
        <f t="shared" si="7"/>
        <v>1.155</v>
      </c>
      <c r="M14" s="9">
        <f t="shared" si="0"/>
        <v>-15707.372518641476</v>
      </c>
      <c r="N14" s="9">
        <f t="shared" si="1"/>
        <v>18363.175262716799</v>
      </c>
      <c r="O14" s="9">
        <f t="shared" si="2"/>
        <v>11636.824737283201</v>
      </c>
      <c r="P14" s="9">
        <f t="shared" si="3"/>
        <v>-115.95494895960462</v>
      </c>
      <c r="Q14" s="9">
        <f t="shared" si="4"/>
        <v>10.167045989697915</v>
      </c>
      <c r="R14" s="9">
        <f t="shared" si="5"/>
        <v>78.450503846853053</v>
      </c>
      <c r="S14" s="9">
        <f t="shared" si="6"/>
        <v>44.128408413854835</v>
      </c>
    </row>
    <row r="15" spans="1:19" ht="18.75" x14ac:dyDescent="0.35">
      <c r="A15" s="6"/>
      <c r="B15" s="19"/>
      <c r="E15" s="6" t="s">
        <v>41</v>
      </c>
      <c r="F15" s="5">
        <v>2.8800000000000002E-3</v>
      </c>
      <c r="G15" t="s">
        <v>42</v>
      </c>
      <c r="K15">
        <v>12</v>
      </c>
      <c r="L15">
        <f t="shared" si="7"/>
        <v>1.2600000000000002</v>
      </c>
      <c r="M15" s="9">
        <f t="shared" si="0"/>
        <v>-13809.100243880008</v>
      </c>
      <c r="N15" s="9">
        <f t="shared" si="1"/>
        <v>17806.332312794792</v>
      </c>
      <c r="O15" s="9">
        <f t="shared" si="2"/>
        <v>12193.667687205207</v>
      </c>
      <c r="P15" s="9">
        <f t="shared" si="3"/>
        <v>-101.94152536058016</v>
      </c>
      <c r="Q15" s="9">
        <f t="shared" si="4"/>
        <v>9.8587415815604658</v>
      </c>
      <c r="R15" s="9">
        <f t="shared" si="5"/>
        <v>82.204501262057576</v>
      </c>
      <c r="S15" s="9">
        <f t="shared" si="6"/>
        <v>46.240031959907384</v>
      </c>
    </row>
    <row r="16" spans="1:19" ht="18.75" x14ac:dyDescent="0.35">
      <c r="A16" s="6"/>
      <c r="B16" s="19"/>
      <c r="E16" s="6" t="s">
        <v>43</v>
      </c>
      <c r="F16" s="5">
        <v>1.9800000000000002E-2</v>
      </c>
      <c r="G16" t="s">
        <v>37</v>
      </c>
      <c r="K16">
        <v>13</v>
      </c>
      <c r="L16">
        <f t="shared" si="7"/>
        <v>1.3650000000000002</v>
      </c>
      <c r="M16" s="9">
        <f t="shared" si="0"/>
        <v>-11965.572377017856</v>
      </c>
      <c r="N16" s="9">
        <f t="shared" si="1"/>
        <v>17320.080284953627</v>
      </c>
      <c r="O16" s="9">
        <f t="shared" si="2"/>
        <v>12679.919715046373</v>
      </c>
      <c r="P16" s="9">
        <f t="shared" si="3"/>
        <v>-88.33223587222605</v>
      </c>
      <c r="Q16" s="9">
        <f t="shared" si="4"/>
        <v>9.5895208907531195</v>
      </c>
      <c r="R16" s="9">
        <f t="shared" si="5"/>
        <v>85.482604820537361</v>
      </c>
      <c r="S16" s="9">
        <f t="shared" si="6"/>
        <v>48.083965211552261</v>
      </c>
    </row>
    <row r="17" spans="1:19" x14ac:dyDescent="0.25">
      <c r="A17" s="6"/>
      <c r="B17" s="19"/>
      <c r="K17">
        <v>14</v>
      </c>
      <c r="L17">
        <f t="shared" si="7"/>
        <v>1.4700000000000002</v>
      </c>
      <c r="M17" s="9">
        <f t="shared" si="0"/>
        <v>-10169.48048812583</v>
      </c>
      <c r="N17" s="9">
        <f t="shared" si="1"/>
        <v>16902.491495355545</v>
      </c>
      <c r="O17" s="9">
        <f t="shared" si="2"/>
        <v>13097.508504644455</v>
      </c>
      <c r="P17" s="9">
        <f t="shared" si="3"/>
        <v>-75.073128210771827</v>
      </c>
      <c r="Q17" s="9">
        <f t="shared" si="4"/>
        <v>9.3583166263552311</v>
      </c>
      <c r="R17" s="9">
        <f t="shared" si="5"/>
        <v>88.297810143670489</v>
      </c>
      <c r="S17" s="9">
        <f t="shared" si="6"/>
        <v>49.667518205814645</v>
      </c>
    </row>
    <row r="18" spans="1:19" x14ac:dyDescent="0.25">
      <c r="A18" s="3"/>
      <c r="B18" s="19"/>
      <c r="K18">
        <v>15</v>
      </c>
      <c r="L18">
        <f t="shared" si="7"/>
        <v>1.5750000000000002</v>
      </c>
      <c r="M18" s="9">
        <f t="shared" si="0"/>
        <v>-8413.7042011292124</v>
      </c>
      <c r="N18" s="9">
        <f t="shared" si="1"/>
        <v>16551.910466769725</v>
      </c>
      <c r="O18" s="9">
        <f t="shared" si="2"/>
        <v>13448.089533230273</v>
      </c>
      <c r="P18" s="9">
        <f t="shared" si="3"/>
        <v>-62.111638343414604</v>
      </c>
      <c r="Q18" s="9">
        <f t="shared" si="4"/>
        <v>9.1642122086958029</v>
      </c>
      <c r="R18" s="9">
        <f t="shared" si="5"/>
        <v>90.661277752114202</v>
      </c>
      <c r="S18" s="9">
        <f t="shared" si="6"/>
        <v>50.996968735564238</v>
      </c>
    </row>
    <row r="19" spans="1:19" x14ac:dyDescent="0.25">
      <c r="A19" s="3"/>
      <c r="B19" s="19"/>
      <c r="K19">
        <v>16</v>
      </c>
      <c r="L19">
        <f t="shared" si="7"/>
        <v>1.6800000000000002</v>
      </c>
      <c r="M19" s="9">
        <f t="shared" si="0"/>
        <v>-6691.2829659894142</v>
      </c>
      <c r="N19" s="9">
        <f t="shared" si="1"/>
        <v>16266.947365644972</v>
      </c>
      <c r="O19" s="9">
        <f t="shared" si="2"/>
        <v>13733.052634355028</v>
      </c>
      <c r="P19" s="9">
        <f t="shared" si="3"/>
        <v>-49.396382104948032</v>
      </c>
      <c r="Q19" s="9">
        <f t="shared" si="4"/>
        <v>9.0064381356908694</v>
      </c>
      <c r="R19" s="9">
        <f t="shared" si="5"/>
        <v>92.582377310258622</v>
      </c>
      <c r="S19" s="9">
        <f t="shared" si="6"/>
        <v>52.077587237020481</v>
      </c>
    </row>
    <row r="20" spans="1:19" x14ac:dyDescent="0.25">
      <c r="A20" s="3"/>
      <c r="D20" s="6"/>
      <c r="E20" s="7"/>
      <c r="K20">
        <v>17</v>
      </c>
      <c r="L20">
        <f t="shared" si="7"/>
        <v>1.7850000000000001</v>
      </c>
      <c r="M20" s="9">
        <f t="shared" si="0"/>
        <v>-4995.3884644955797</v>
      </c>
      <c r="N20" s="9">
        <f t="shared" si="1"/>
        <v>16046.47249229278</v>
      </c>
      <c r="O20" s="9">
        <f t="shared" si="2"/>
        <v>13953.52750770722</v>
      </c>
      <c r="P20" s="9">
        <f t="shared" si="3"/>
        <v>-36.876951491826006</v>
      </c>
      <c r="Q20" s="9">
        <f t="shared" si="4"/>
        <v>8.8843689322511068</v>
      </c>
      <c r="R20" s="9">
        <f t="shared" si="5"/>
        <v>94.068724771059934</v>
      </c>
      <c r="S20" s="9">
        <f t="shared" si="6"/>
        <v>52.913657683721205</v>
      </c>
    </row>
    <row r="21" spans="1:19" x14ac:dyDescent="0.25">
      <c r="A21" s="3"/>
      <c r="D21" s="3"/>
      <c r="E21" s="7"/>
      <c r="K21">
        <v>18</v>
      </c>
      <c r="L21">
        <f t="shared" si="7"/>
        <v>1.8900000000000001</v>
      </c>
      <c r="M21" s="9">
        <f t="shared" si="0"/>
        <v>-3319.2975402722477</v>
      </c>
      <c r="N21" s="9">
        <f t="shared" si="1"/>
        <v>15889.611802337677</v>
      </c>
      <c r="O21" s="9">
        <f t="shared" si="2"/>
        <v>14110.388197662323</v>
      </c>
      <c r="P21" s="9">
        <f t="shared" si="3"/>
        <v>-24.503714826093557</v>
      </c>
      <c r="Q21" s="9">
        <f t="shared" si="4"/>
        <v>8.7975206706660192</v>
      </c>
      <c r="R21" s="9">
        <f t="shared" si="5"/>
        <v>95.126212568510056</v>
      </c>
      <c r="S21" s="9">
        <f t="shared" si="6"/>
        <v>53.508494569786905</v>
      </c>
    </row>
    <row r="22" spans="1:19" x14ac:dyDescent="0.25">
      <c r="A22" s="3"/>
      <c r="D22" s="3"/>
      <c r="E22" s="7"/>
      <c r="G22" s="3"/>
      <c r="H22" s="7"/>
      <c r="K22">
        <v>19</v>
      </c>
      <c r="L22">
        <f t="shared" si="7"/>
        <v>1.9950000000000001</v>
      </c>
      <c r="M22" s="9">
        <f t="shared" si="0"/>
        <v>-1656.3655456876802</v>
      </c>
      <c r="N22" s="9">
        <f t="shared" si="1"/>
        <v>15795.74344168037</v>
      </c>
      <c r="O22" s="9">
        <f t="shared" si="2"/>
        <v>14204.25655831963</v>
      </c>
      <c r="P22" s="9">
        <f t="shared" si="3"/>
        <v>-12.22761999696141</v>
      </c>
      <c r="Q22" s="9">
        <f t="shared" si="4"/>
        <v>8.7455490521345514</v>
      </c>
      <c r="R22" s="9">
        <f t="shared" si="5"/>
        <v>95.759032977435709</v>
      </c>
      <c r="S22" s="9">
        <f t="shared" si="6"/>
        <v>53.864456049807586</v>
      </c>
    </row>
    <row r="23" spans="1:19" x14ac:dyDescent="0.25">
      <c r="E23" s="7"/>
      <c r="K23">
        <v>20</v>
      </c>
      <c r="L23">
        <f t="shared" si="7"/>
        <v>2.1</v>
      </c>
      <c r="M23" s="9">
        <f t="shared" si="0"/>
        <v>0</v>
      </c>
      <c r="N23" s="9">
        <f t="shared" si="1"/>
        <v>15764.495281236856</v>
      </c>
      <c r="O23" s="9">
        <f t="shared" si="2"/>
        <v>14235.504718763144</v>
      </c>
      <c r="P23" s="9">
        <f t="shared" si="3"/>
        <v>0</v>
      </c>
      <c r="Q23" s="9">
        <f t="shared" si="4"/>
        <v>8.7282480418366362</v>
      </c>
      <c r="R23" s="9">
        <f t="shared" si="5"/>
        <v>95.969694733234689</v>
      </c>
      <c r="S23" s="9">
        <f t="shared" si="6"/>
        <v>53.982953287444509</v>
      </c>
    </row>
    <row r="24" spans="1:19" x14ac:dyDescent="0.25">
      <c r="A24" s="4"/>
      <c r="E24" s="7"/>
    </row>
    <row r="25" spans="1:19" x14ac:dyDescent="0.25">
      <c r="A25" s="3"/>
      <c r="D25" s="6"/>
      <c r="E25" s="7"/>
    </row>
    <row r="26" spans="1:19" x14ac:dyDescent="0.25">
      <c r="A26" s="3"/>
      <c r="D26" s="3"/>
      <c r="E26" s="7"/>
    </row>
    <row r="27" spans="1:19" x14ac:dyDescent="0.25">
      <c r="A27" s="3"/>
      <c r="D27" s="3"/>
      <c r="E27" s="7"/>
      <c r="G27" s="3"/>
      <c r="H27" s="7"/>
    </row>
    <row r="29" spans="1:19" x14ac:dyDescent="0.25">
      <c r="A29" s="1"/>
    </row>
    <row r="30" spans="1:19" x14ac:dyDescent="0.25">
      <c r="A30" s="3"/>
      <c r="B30" s="7"/>
    </row>
    <row r="32" spans="1:19" x14ac:dyDescent="0.25">
      <c r="A32" s="1"/>
    </row>
    <row r="33" spans="1:2" x14ac:dyDescent="0.25">
      <c r="A33" s="6"/>
      <c r="B33" s="7"/>
    </row>
    <row r="35" spans="1:2" x14ac:dyDescent="0.25">
      <c r="A35" s="1"/>
    </row>
    <row r="36" spans="1:2" x14ac:dyDescent="0.25">
      <c r="A36" s="6"/>
      <c r="B36" s="7"/>
    </row>
    <row r="37" spans="1:2" x14ac:dyDescent="0.25">
      <c r="A37" s="6"/>
      <c r="B37" s="7"/>
    </row>
    <row r="38" spans="1:2" x14ac:dyDescent="0.25">
      <c r="A38" s="6"/>
      <c r="B38" s="7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3076-707C-426C-A1BB-BB047B73D9B4}">
  <dimension ref="A1:G8"/>
  <sheetViews>
    <sheetView workbookViewId="0">
      <selection activeCell="U14" sqref="U14"/>
    </sheetView>
  </sheetViews>
  <sheetFormatPr defaultRowHeight="15" x14ac:dyDescent="0.25"/>
  <sheetData>
    <row r="1" spans="1:7" x14ac:dyDescent="0.25">
      <c r="A1" s="18" t="s">
        <v>64</v>
      </c>
      <c r="B1" s="18"/>
      <c r="C1" s="18"/>
      <c r="E1" s="18" t="s">
        <v>65</v>
      </c>
      <c r="F1" s="18"/>
      <c r="G1" s="18"/>
    </row>
    <row r="2" spans="1:7" x14ac:dyDescent="0.25">
      <c r="A2" t="s">
        <v>53</v>
      </c>
      <c r="B2">
        <v>1</v>
      </c>
      <c r="C2" t="s">
        <v>54</v>
      </c>
      <c r="E2" t="s">
        <v>53</v>
      </c>
      <c r="F2">
        <v>1</v>
      </c>
      <c r="G2" t="s">
        <v>54</v>
      </c>
    </row>
    <row r="3" spans="1:7" x14ac:dyDescent="0.25">
      <c r="A3" t="s">
        <v>55</v>
      </c>
      <c r="B3">
        <v>100</v>
      </c>
      <c r="C3" t="s">
        <v>56</v>
      </c>
      <c r="E3" t="s">
        <v>55</v>
      </c>
      <c r="F3">
        <v>100</v>
      </c>
      <c r="G3" t="s">
        <v>56</v>
      </c>
    </row>
    <row r="4" spans="1:7" x14ac:dyDescent="0.25">
      <c r="A4" t="s">
        <v>33</v>
      </c>
      <c r="B4">
        <v>200</v>
      </c>
      <c r="C4" t="s">
        <v>56</v>
      </c>
      <c r="E4" t="s">
        <v>33</v>
      </c>
      <c r="F4">
        <v>200</v>
      </c>
      <c r="G4" t="s">
        <v>56</v>
      </c>
    </row>
    <row r="5" spans="1:7" x14ac:dyDescent="0.25">
      <c r="A5" t="s">
        <v>57</v>
      </c>
      <c r="B5">
        <v>6</v>
      </c>
      <c r="C5" t="s">
        <v>56</v>
      </c>
      <c r="E5" t="s">
        <v>57</v>
      </c>
      <c r="F5">
        <v>6</v>
      </c>
      <c r="G5" t="s">
        <v>56</v>
      </c>
    </row>
    <row r="6" spans="1:7" x14ac:dyDescent="0.25">
      <c r="A6" t="s">
        <v>58</v>
      </c>
      <c r="B6">
        <f>(B3-B5)*(B4-B5)</f>
        <v>18236</v>
      </c>
      <c r="C6" t="s">
        <v>59</v>
      </c>
      <c r="E6" t="s">
        <v>62</v>
      </c>
      <c r="F6">
        <f>1/3*((F3*F5^3)*2+(F4*F5^3))</f>
        <v>28800</v>
      </c>
      <c r="G6" t="s">
        <v>63</v>
      </c>
    </row>
    <row r="7" spans="1:7" x14ac:dyDescent="0.25">
      <c r="A7" t="s">
        <v>60</v>
      </c>
      <c r="B7">
        <f>2*B6</f>
        <v>36472</v>
      </c>
      <c r="C7" t="s">
        <v>59</v>
      </c>
      <c r="E7" t="s">
        <v>61</v>
      </c>
      <c r="F7" s="9">
        <f>F2*1000000/F6*F5</f>
        <v>208.33333333333331</v>
      </c>
      <c r="G7" t="s">
        <v>29</v>
      </c>
    </row>
    <row r="8" spans="1:7" x14ac:dyDescent="0.25">
      <c r="A8" t="s">
        <v>61</v>
      </c>
      <c r="B8" s="7">
        <f>B2*1000000/(B7*B5)</f>
        <v>4.5697155809022449</v>
      </c>
      <c r="C8" t="s">
        <v>29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33FE-D57B-43BE-AB48-160AD4035331}">
  <dimension ref="A1:V74"/>
  <sheetViews>
    <sheetView workbookViewId="0">
      <selection activeCell="S47" sqref="S47"/>
    </sheetView>
  </sheetViews>
  <sheetFormatPr defaultRowHeight="15" x14ac:dyDescent="0.25"/>
  <cols>
    <col min="1" max="1" width="9.140625" style="11"/>
    <col min="2" max="2" width="6" style="11" bestFit="1" customWidth="1"/>
    <col min="3" max="3" width="5.5703125" style="12" bestFit="1" customWidth="1"/>
    <col min="4" max="5" width="6" style="11" bestFit="1" customWidth="1"/>
    <col min="6" max="6" width="4.5703125" style="13" bestFit="1" customWidth="1"/>
    <col min="7" max="16384" width="9.140625" style="11"/>
  </cols>
  <sheetData>
    <row r="1" spans="1:22" x14ac:dyDescent="0.25">
      <c r="A1" t="s">
        <v>75</v>
      </c>
      <c r="B1" t="s">
        <v>76</v>
      </c>
      <c r="C1" s="7" t="s">
        <v>77</v>
      </c>
      <c r="D1" t="s">
        <v>78</v>
      </c>
      <c r="E1" t="s">
        <v>79</v>
      </c>
      <c r="F1" s="8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  <c r="O1" t="s">
        <v>89</v>
      </c>
      <c r="P1" t="s">
        <v>90</v>
      </c>
      <c r="Q1" t="s">
        <v>91</v>
      </c>
      <c r="R1" t="s">
        <v>92</v>
      </c>
      <c r="S1" t="s">
        <v>93</v>
      </c>
      <c r="T1" t="s">
        <v>94</v>
      </c>
      <c r="U1" t="s">
        <v>95</v>
      </c>
      <c r="V1" t="s">
        <v>96</v>
      </c>
    </row>
    <row r="2" spans="1:22" x14ac:dyDescent="0.25">
      <c r="A2" t="s">
        <v>97</v>
      </c>
      <c r="B2" t="s">
        <v>56</v>
      </c>
      <c r="C2" s="7" t="s">
        <v>56</v>
      </c>
      <c r="D2" t="s">
        <v>56</v>
      </c>
      <c r="E2" t="s">
        <v>56</v>
      </c>
      <c r="F2" s="8" t="s">
        <v>56</v>
      </c>
      <c r="G2" t="s">
        <v>98</v>
      </c>
      <c r="H2" t="s">
        <v>4</v>
      </c>
      <c r="I2" t="s">
        <v>4</v>
      </c>
      <c r="J2" t="s">
        <v>99</v>
      </c>
      <c r="K2" t="s">
        <v>99</v>
      </c>
      <c r="L2" t="s">
        <v>100</v>
      </c>
      <c r="M2" t="s">
        <v>100</v>
      </c>
      <c r="N2" t="s">
        <v>99</v>
      </c>
      <c r="O2" t="s">
        <v>99</v>
      </c>
      <c r="P2" t="s">
        <v>4</v>
      </c>
      <c r="Q2" t="s">
        <v>4</v>
      </c>
      <c r="R2" t="s">
        <v>100</v>
      </c>
      <c r="S2" t="s">
        <v>100</v>
      </c>
      <c r="T2" t="s">
        <v>101</v>
      </c>
      <c r="U2" t="s">
        <v>98</v>
      </c>
      <c r="V2" t="s">
        <v>98</v>
      </c>
    </row>
    <row r="3" spans="1:22" x14ac:dyDescent="0.25">
      <c r="A3" t="s">
        <v>102</v>
      </c>
      <c r="B3">
        <v>1E-3</v>
      </c>
      <c r="C3" s="7">
        <v>1E-3</v>
      </c>
      <c r="D3">
        <v>1E-3</v>
      </c>
      <c r="E3">
        <v>1E-3</v>
      </c>
      <c r="F3" s="8">
        <v>1E-3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</row>
    <row r="4" spans="1:22" x14ac:dyDescent="0.25">
      <c r="A4" t="s">
        <v>103</v>
      </c>
      <c r="B4" s="15">
        <v>46</v>
      </c>
      <c r="C4" s="15">
        <v>80</v>
      </c>
      <c r="D4" s="15">
        <v>5.2</v>
      </c>
      <c r="E4" s="15">
        <v>3.8</v>
      </c>
      <c r="F4" s="15">
        <v>5</v>
      </c>
      <c r="G4">
        <v>7.6400000000000003E-4</v>
      </c>
      <c r="H4">
        <v>3.23875420429083E-2</v>
      </c>
      <c r="I4">
        <v>1.05416153624699E-2</v>
      </c>
      <c r="J4" s="16">
        <v>8.0139999999999996E-7</v>
      </c>
      <c r="K4" s="16">
        <v>8.4899999999999999E-8</v>
      </c>
      <c r="L4" s="16">
        <v>2.003E-5</v>
      </c>
      <c r="M4" s="16">
        <v>3.6899999999999998E-6</v>
      </c>
      <c r="N4">
        <v>0</v>
      </c>
      <c r="O4" s="16">
        <v>6.9999999999999998E-9</v>
      </c>
      <c r="P4">
        <v>0</v>
      </c>
      <c r="Q4">
        <v>0</v>
      </c>
      <c r="R4" s="16">
        <v>2.3200000000000001E-5</v>
      </c>
      <c r="S4" s="16">
        <v>5.8200000000000002E-6</v>
      </c>
      <c r="T4" s="16">
        <v>1.1891825277307099E-10</v>
      </c>
      <c r="U4">
        <v>4.0499999999999998E-4</v>
      </c>
      <c r="V4">
        <v>2.6899999999999998E-4</v>
      </c>
    </row>
    <row r="5" spans="1:22" x14ac:dyDescent="0.25">
      <c r="A5" t="s">
        <v>104</v>
      </c>
      <c r="B5" s="15">
        <v>55</v>
      </c>
      <c r="C5" s="15">
        <v>100</v>
      </c>
      <c r="D5" s="15">
        <v>5.7</v>
      </c>
      <c r="E5" s="15">
        <v>4.0999999999999996</v>
      </c>
      <c r="F5" s="15">
        <v>7</v>
      </c>
      <c r="G5">
        <v>1.0319999999999999E-3</v>
      </c>
      <c r="H5">
        <v>4.0705979219103003E-2</v>
      </c>
      <c r="I5">
        <v>1.2420288478593101E-2</v>
      </c>
      <c r="J5" s="16">
        <v>1.7099999999999999E-6</v>
      </c>
      <c r="K5" s="16">
        <v>1.592E-7</v>
      </c>
      <c r="L5" s="16">
        <v>3.4199999999999998E-5</v>
      </c>
      <c r="M5" s="16">
        <v>5.7899999999999996E-6</v>
      </c>
      <c r="N5">
        <v>0</v>
      </c>
      <c r="O5" s="16">
        <v>1.2E-8</v>
      </c>
      <c r="P5">
        <v>0</v>
      </c>
      <c r="Q5">
        <v>0</v>
      </c>
      <c r="R5" s="16">
        <v>3.9400000000000002E-5</v>
      </c>
      <c r="S5" s="16">
        <v>9.1600000000000004E-6</v>
      </c>
      <c r="T5" s="16">
        <v>3.5412353901744702E-10</v>
      </c>
      <c r="U5">
        <v>5.2700000000000002E-4</v>
      </c>
      <c r="V5">
        <v>3.68E-4</v>
      </c>
    </row>
    <row r="6" spans="1:22" x14ac:dyDescent="0.25">
      <c r="A6" t="s">
        <v>105</v>
      </c>
      <c r="B6" s="15">
        <v>64</v>
      </c>
      <c r="C6" s="15">
        <v>117.6</v>
      </c>
      <c r="D6" s="15">
        <v>5.0999999999999996</v>
      </c>
      <c r="E6" s="15">
        <v>3.8</v>
      </c>
      <c r="F6" s="15">
        <v>7</v>
      </c>
      <c r="G6">
        <v>1.103E-3</v>
      </c>
      <c r="H6">
        <v>4.83077171830536E-2</v>
      </c>
      <c r="I6">
        <v>1.42475205013075E-2</v>
      </c>
      <c r="J6" s="16">
        <v>2.5739999999999998E-6</v>
      </c>
      <c r="K6" s="16">
        <v>2.2390000000000001E-7</v>
      </c>
      <c r="L6" s="16">
        <v>4.3770000000000003E-5</v>
      </c>
      <c r="M6" s="16">
        <v>6.9999999999999999E-6</v>
      </c>
      <c r="N6">
        <v>0</v>
      </c>
      <c r="O6" s="16">
        <v>1.04E-8</v>
      </c>
      <c r="P6">
        <v>0</v>
      </c>
      <c r="Q6">
        <v>0</v>
      </c>
      <c r="R6" s="16">
        <v>5.0000000000000002E-5</v>
      </c>
      <c r="S6" s="16">
        <v>1.098E-5</v>
      </c>
      <c r="T6" s="16">
        <v>7.1053196864364704E-10</v>
      </c>
      <c r="U6">
        <v>0</v>
      </c>
      <c r="V6">
        <v>0</v>
      </c>
    </row>
    <row r="7" spans="1:22" x14ac:dyDescent="0.25">
      <c r="A7" t="s">
        <v>106</v>
      </c>
      <c r="B7" s="15">
        <v>64</v>
      </c>
      <c r="C7" s="15">
        <v>120</v>
      </c>
      <c r="D7" s="15">
        <v>6.3</v>
      </c>
      <c r="E7" s="15">
        <v>4.4000000000000004</v>
      </c>
      <c r="F7" s="15">
        <v>7</v>
      </c>
      <c r="G7">
        <v>1.3209999999999999E-3</v>
      </c>
      <c r="H7">
        <v>4.90484782359214E-2</v>
      </c>
      <c r="I7">
        <v>1.44728203328717E-2</v>
      </c>
      <c r="J7" s="16">
        <v>3.1779999999999999E-6</v>
      </c>
      <c r="K7" s="16">
        <v>2.7669999999999998E-7</v>
      </c>
      <c r="L7" s="16">
        <v>5.2960000000000001E-5</v>
      </c>
      <c r="M7" s="16">
        <v>8.6500000000000002E-6</v>
      </c>
      <c r="N7">
        <v>0</v>
      </c>
      <c r="O7" s="16">
        <v>1.74E-8</v>
      </c>
      <c r="P7">
        <v>0</v>
      </c>
      <c r="Q7">
        <v>0</v>
      </c>
      <c r="R7" s="16">
        <v>6.0800000000000001E-5</v>
      </c>
      <c r="S7" s="16">
        <v>1.358E-5</v>
      </c>
      <c r="T7" s="16">
        <v>8.9654049671115702E-10</v>
      </c>
      <c r="U7">
        <v>6.8000000000000005E-4</v>
      </c>
      <c r="V7">
        <v>4.7800000000000002E-4</v>
      </c>
    </row>
    <row r="8" spans="1:22" x14ac:dyDescent="0.25">
      <c r="A8" t="s">
        <v>107</v>
      </c>
      <c r="B8" s="15">
        <v>73</v>
      </c>
      <c r="C8" s="15">
        <v>140</v>
      </c>
      <c r="D8" s="15">
        <v>6.9</v>
      </c>
      <c r="E8" s="15">
        <v>4.7</v>
      </c>
      <c r="F8" s="15">
        <v>7</v>
      </c>
      <c r="G8">
        <v>1.6429999999999999E-3</v>
      </c>
      <c r="H8">
        <v>5.7393156708840098E-2</v>
      </c>
      <c r="I8">
        <v>1.6534881700283201E-2</v>
      </c>
      <c r="J8" s="16">
        <v>5.412E-6</v>
      </c>
      <c r="K8" s="16">
        <v>4.4920000000000003E-7</v>
      </c>
      <c r="L8" s="16">
        <v>7.7319999999999998E-5</v>
      </c>
      <c r="M8" s="16">
        <v>1.2310000000000001E-5</v>
      </c>
      <c r="N8">
        <v>0</v>
      </c>
      <c r="O8" s="16">
        <v>2.4500000000000001E-8</v>
      </c>
      <c r="P8">
        <v>0</v>
      </c>
      <c r="Q8">
        <v>0</v>
      </c>
      <c r="R8" s="16">
        <v>8.8399999999999994E-5</v>
      </c>
      <c r="S8" s="16">
        <v>1.9259999999999999E-5</v>
      </c>
      <c r="T8" s="16">
        <v>2.0015740627907701E-9</v>
      </c>
      <c r="U8">
        <v>8.4600000000000007E-4</v>
      </c>
      <c r="V8">
        <v>5.9800000000000001E-4</v>
      </c>
    </row>
    <row r="9" spans="1:22" x14ac:dyDescent="0.25">
      <c r="A9" t="s">
        <v>108</v>
      </c>
      <c r="B9" s="15">
        <v>72</v>
      </c>
      <c r="C9" s="15">
        <v>142</v>
      </c>
      <c r="D9" s="15">
        <v>7.8</v>
      </c>
      <c r="E9" s="15">
        <v>5.3</v>
      </c>
      <c r="F9" s="15">
        <v>7</v>
      </c>
      <c r="G9">
        <v>1.8400000000000001E-3</v>
      </c>
      <c r="H9">
        <v>5.7672237311567301E-2</v>
      </c>
      <c r="I9">
        <v>1.62854963481113E-2</v>
      </c>
      <c r="J9" s="16">
        <v>6.1199999999999999E-6</v>
      </c>
      <c r="K9" s="16">
        <v>4.8800000000000003E-7</v>
      </c>
      <c r="L9" s="16">
        <v>8.6199999999999995E-5</v>
      </c>
      <c r="M9" s="16">
        <v>1.3499999999999999E-5</v>
      </c>
      <c r="N9">
        <v>0</v>
      </c>
      <c r="O9" s="16">
        <v>3.6300000000000001E-8</v>
      </c>
      <c r="P9">
        <v>0</v>
      </c>
      <c r="Q9">
        <v>0</v>
      </c>
      <c r="R9" s="16">
        <v>9.9199999999999999E-5</v>
      </c>
      <c r="S9" s="16">
        <v>2.12E-5</v>
      </c>
      <c r="T9" s="16">
        <v>2.20696278659608E-9</v>
      </c>
      <c r="U9">
        <v>0</v>
      </c>
      <c r="V9">
        <v>0</v>
      </c>
    </row>
    <row r="10" spans="1:22" x14ac:dyDescent="0.25">
      <c r="A10" t="s">
        <v>109</v>
      </c>
      <c r="B10" s="15">
        <v>73</v>
      </c>
      <c r="C10" s="15">
        <v>137.4</v>
      </c>
      <c r="D10" s="15">
        <v>5.6</v>
      </c>
      <c r="E10" s="15">
        <v>3.8</v>
      </c>
      <c r="F10" s="15">
        <v>7</v>
      </c>
      <c r="G10">
        <v>1.3389999999999999E-3</v>
      </c>
      <c r="H10">
        <v>5.6990755640970003E-2</v>
      </c>
      <c r="I10">
        <v>1.6492241369567801E-2</v>
      </c>
      <c r="J10" s="16">
        <v>4.3490000000000002E-6</v>
      </c>
      <c r="K10" s="16">
        <v>3.6419999999999999E-7</v>
      </c>
      <c r="L10" s="16">
        <v>6.3299999999999994E-5</v>
      </c>
      <c r="M10" s="16">
        <v>9.9799999999999993E-6</v>
      </c>
      <c r="N10">
        <v>0</v>
      </c>
      <c r="O10" s="16">
        <v>1.3599999999999999E-8</v>
      </c>
      <c r="P10">
        <v>0</v>
      </c>
      <c r="Q10">
        <v>0</v>
      </c>
      <c r="R10" s="16">
        <v>7.1799999999999997E-5</v>
      </c>
      <c r="S10" s="16">
        <v>1.554E-5</v>
      </c>
      <c r="T10" s="16">
        <v>1.59288806440314E-9</v>
      </c>
      <c r="U10">
        <v>0</v>
      </c>
      <c r="V10">
        <v>0</v>
      </c>
    </row>
    <row r="11" spans="1:22" x14ac:dyDescent="0.25">
      <c r="A11" t="s">
        <v>110</v>
      </c>
      <c r="B11" s="15">
        <v>82</v>
      </c>
      <c r="C11" s="15">
        <v>157</v>
      </c>
      <c r="D11" s="15">
        <v>5.9</v>
      </c>
      <c r="E11" s="15">
        <v>4</v>
      </c>
      <c r="F11" s="15">
        <v>9</v>
      </c>
      <c r="G11">
        <v>1.6180000000000001E-3</v>
      </c>
      <c r="H11">
        <v>6.5270190554577806E-2</v>
      </c>
      <c r="I11">
        <v>1.83412913020175E-2</v>
      </c>
      <c r="J11" s="16">
        <v>6.8929999999999999E-6</v>
      </c>
      <c r="K11" s="16">
        <v>5.4430000000000002E-7</v>
      </c>
      <c r="L11" s="16">
        <v>8.7810000000000001E-5</v>
      </c>
      <c r="M11" s="16">
        <v>1.327E-5</v>
      </c>
      <c r="N11">
        <v>0</v>
      </c>
      <c r="O11" s="16">
        <v>1.96E-8</v>
      </c>
      <c r="P11">
        <v>0</v>
      </c>
      <c r="Q11">
        <v>0</v>
      </c>
      <c r="R11" s="16">
        <v>9.9199999999999999E-5</v>
      </c>
      <c r="S11" s="16">
        <v>2.0800000000000001E-5</v>
      </c>
      <c r="T11" s="16">
        <v>3.1262260752862399E-9</v>
      </c>
      <c r="U11">
        <v>0</v>
      </c>
      <c r="V11">
        <v>0</v>
      </c>
    </row>
    <row r="12" spans="1:22" x14ac:dyDescent="0.25">
      <c r="A12" t="s">
        <v>111</v>
      </c>
      <c r="B12" s="15">
        <v>81</v>
      </c>
      <c r="C12" s="15">
        <v>162</v>
      </c>
      <c r="D12" s="15">
        <v>8.5</v>
      </c>
      <c r="E12" s="15">
        <v>5.6</v>
      </c>
      <c r="F12" s="15">
        <v>9</v>
      </c>
      <c r="G12">
        <v>2.2599999999999999E-3</v>
      </c>
      <c r="H12">
        <v>6.6185579799918098E-2</v>
      </c>
      <c r="I12">
        <v>1.83017964203624E-2</v>
      </c>
      <c r="J12" s="16">
        <v>9.9000000000000001E-6</v>
      </c>
      <c r="K12" s="16">
        <v>7.5700000000000002E-7</v>
      </c>
      <c r="L12">
        <v>1.22E-4</v>
      </c>
      <c r="M12" s="16">
        <v>1.8700000000000001E-5</v>
      </c>
      <c r="N12">
        <v>0</v>
      </c>
      <c r="O12" s="16">
        <v>5.1300000000000003E-8</v>
      </c>
      <c r="P12">
        <v>0</v>
      </c>
      <c r="Q12">
        <v>0</v>
      </c>
      <c r="R12">
        <v>1.4019999999999999E-4</v>
      </c>
      <c r="S12" s="16">
        <v>2.94E-5</v>
      </c>
      <c r="T12" s="16">
        <v>4.4801093998483699E-9</v>
      </c>
      <c r="U12">
        <v>0</v>
      </c>
      <c r="V12">
        <v>0</v>
      </c>
    </row>
    <row r="13" spans="1:22" x14ac:dyDescent="0.25">
      <c r="A13" t="s">
        <v>112</v>
      </c>
      <c r="B13" s="15">
        <v>82</v>
      </c>
      <c r="C13" s="15">
        <v>160</v>
      </c>
      <c r="D13" s="15">
        <v>7.4</v>
      </c>
      <c r="E13" s="15">
        <v>5</v>
      </c>
      <c r="F13" s="15">
        <v>9</v>
      </c>
      <c r="G13">
        <v>2.0089999999999999E-3</v>
      </c>
      <c r="H13">
        <v>6.5780151811352203E-2</v>
      </c>
      <c r="I13">
        <v>1.84396288032917E-2</v>
      </c>
      <c r="J13" s="16">
        <v>8.6929999999999996E-6</v>
      </c>
      <c r="K13" s="16">
        <v>6.8309999999999997E-7</v>
      </c>
      <c r="L13">
        <v>1.087E-4</v>
      </c>
      <c r="M13" s="16">
        <v>1.666E-5</v>
      </c>
      <c r="N13">
        <v>0</v>
      </c>
      <c r="O13" s="16">
        <v>3.5999999999999998E-8</v>
      </c>
      <c r="P13">
        <v>0</v>
      </c>
      <c r="Q13">
        <v>0</v>
      </c>
      <c r="R13">
        <v>1.238E-4</v>
      </c>
      <c r="S13" s="16">
        <v>2.62E-5</v>
      </c>
      <c r="T13" s="16">
        <v>3.9992654050258098E-9</v>
      </c>
      <c r="U13">
        <v>1.0189999999999999E-3</v>
      </c>
      <c r="V13">
        <v>7.2999999999999996E-4</v>
      </c>
    </row>
    <row r="14" spans="1:22" x14ac:dyDescent="0.25">
      <c r="A14" t="s">
        <v>113</v>
      </c>
      <c r="B14" s="15">
        <v>91</v>
      </c>
      <c r="C14" s="15">
        <v>180</v>
      </c>
      <c r="D14" s="15">
        <v>8</v>
      </c>
      <c r="E14" s="15">
        <v>5.3</v>
      </c>
      <c r="F14" s="15">
        <v>9</v>
      </c>
      <c r="G14">
        <v>2.395E-3</v>
      </c>
      <c r="H14">
        <v>7.4154946960158202E-2</v>
      </c>
      <c r="I14">
        <v>2.0525456468901901E-2</v>
      </c>
      <c r="J14" s="16">
        <v>1.3169999999999999E-5</v>
      </c>
      <c r="K14" s="16">
        <v>1.009E-6</v>
      </c>
      <c r="L14">
        <v>1.4630000000000001E-4</v>
      </c>
      <c r="M14" s="16">
        <v>2.2160000000000001E-5</v>
      </c>
      <c r="N14">
        <v>0</v>
      </c>
      <c r="O14" s="16">
        <v>4.7899999999999999E-8</v>
      </c>
      <c r="P14">
        <v>0</v>
      </c>
      <c r="Q14">
        <v>0</v>
      </c>
      <c r="R14">
        <v>1.6640000000000001E-4</v>
      </c>
      <c r="S14" s="16">
        <v>3.4600000000000001E-5</v>
      </c>
      <c r="T14" s="16">
        <v>7.5070435439999996E-9</v>
      </c>
      <c r="U14">
        <v>1.2260000000000001E-3</v>
      </c>
      <c r="V14">
        <v>8.7399999999999999E-4</v>
      </c>
    </row>
    <row r="15" spans="1:22" x14ac:dyDescent="0.25">
      <c r="A15" t="s">
        <v>114</v>
      </c>
      <c r="B15" s="15">
        <v>92</v>
      </c>
      <c r="C15" s="15">
        <v>182</v>
      </c>
      <c r="D15" s="15">
        <v>9</v>
      </c>
      <c r="E15" s="15">
        <v>6</v>
      </c>
      <c r="F15" s="15">
        <v>9</v>
      </c>
      <c r="G15">
        <v>2.7100000000000002E-3</v>
      </c>
      <c r="H15">
        <v>7.4521846025547095E-2</v>
      </c>
      <c r="I15">
        <v>2.0804839062422101E-2</v>
      </c>
      <c r="J15" s="16">
        <v>1.505E-5</v>
      </c>
      <c r="K15" s="16">
        <v>1.173E-6</v>
      </c>
      <c r="L15">
        <v>1.6540000000000001E-4</v>
      </c>
      <c r="M15" s="16">
        <v>2.55E-5</v>
      </c>
      <c r="N15">
        <v>0</v>
      </c>
      <c r="O15" s="16">
        <v>6.7599999999999997E-8</v>
      </c>
      <c r="P15">
        <v>0</v>
      </c>
      <c r="Q15">
        <v>0</v>
      </c>
      <c r="R15">
        <v>1.894E-4</v>
      </c>
      <c r="S15" s="16">
        <v>4.0000000000000003E-5</v>
      </c>
      <c r="T15" s="16">
        <v>8.8286860792653101E-9</v>
      </c>
      <c r="U15">
        <v>0</v>
      </c>
      <c r="V15">
        <v>0</v>
      </c>
    </row>
    <row r="16" spans="1:22" x14ac:dyDescent="0.25">
      <c r="A16" t="s">
        <v>115</v>
      </c>
      <c r="B16" s="15">
        <v>89</v>
      </c>
      <c r="C16" s="15">
        <v>183</v>
      </c>
      <c r="D16" s="15">
        <v>9.5</v>
      </c>
      <c r="E16" s="15">
        <v>6.4</v>
      </c>
      <c r="F16" s="15">
        <v>9</v>
      </c>
      <c r="G16">
        <v>2.81E-3</v>
      </c>
      <c r="H16">
        <v>7.4509069404251393E-2</v>
      </c>
      <c r="I16">
        <v>1.9964381093725801E-2</v>
      </c>
      <c r="J16" s="16">
        <v>1.56E-5</v>
      </c>
      <c r="K16" s="16">
        <v>1.1200000000000001E-6</v>
      </c>
      <c r="L16">
        <v>1.7000000000000001E-4</v>
      </c>
      <c r="M16" s="16">
        <v>2.5199999999999999E-5</v>
      </c>
      <c r="N16">
        <v>0</v>
      </c>
      <c r="O16" s="16">
        <v>7.7799999999999995E-8</v>
      </c>
      <c r="P16">
        <v>0</v>
      </c>
      <c r="Q16">
        <v>0</v>
      </c>
      <c r="R16">
        <v>1.9560000000000001E-4</v>
      </c>
      <c r="S16" s="16">
        <v>3.96E-5</v>
      </c>
      <c r="T16" s="16">
        <v>8.4857544523703698E-9</v>
      </c>
      <c r="U16">
        <v>0</v>
      </c>
      <c r="V16">
        <v>0</v>
      </c>
    </row>
    <row r="17" spans="1:22" x14ac:dyDescent="0.25">
      <c r="A17" t="s">
        <v>116</v>
      </c>
      <c r="B17" s="15">
        <v>91</v>
      </c>
      <c r="C17" s="15">
        <v>177</v>
      </c>
      <c r="D17" s="15">
        <v>6.5</v>
      </c>
      <c r="E17" s="15">
        <v>4.3</v>
      </c>
      <c r="F17" s="15">
        <v>9</v>
      </c>
      <c r="G17">
        <v>1.9580000000000001E-3</v>
      </c>
      <c r="H17">
        <v>7.3681810462651806E-2</v>
      </c>
      <c r="I17">
        <v>2.04507430355183E-2</v>
      </c>
      <c r="J17" s="16">
        <v>1.063E-5</v>
      </c>
      <c r="K17" s="16">
        <v>8.1890000000000001E-7</v>
      </c>
      <c r="L17">
        <v>1.2010000000000001E-4</v>
      </c>
      <c r="M17" s="16">
        <v>1.8E-5</v>
      </c>
      <c r="N17">
        <v>0</v>
      </c>
      <c r="O17" s="16">
        <v>2.7E-8</v>
      </c>
      <c r="P17">
        <v>0</v>
      </c>
      <c r="Q17">
        <v>0</v>
      </c>
      <c r="R17">
        <v>1.3559999999999999E-4</v>
      </c>
      <c r="S17" s="16">
        <v>2.8E-5</v>
      </c>
      <c r="T17" s="16">
        <v>5.99355061774218E-9</v>
      </c>
      <c r="U17">
        <v>0</v>
      </c>
      <c r="V17">
        <v>0</v>
      </c>
    </row>
    <row r="18" spans="1:22" x14ac:dyDescent="0.25">
      <c r="A18" t="s">
        <v>117</v>
      </c>
      <c r="B18" s="15">
        <v>100</v>
      </c>
      <c r="C18" s="15">
        <v>200</v>
      </c>
      <c r="D18" s="15">
        <v>8.5</v>
      </c>
      <c r="E18" s="15">
        <v>5.6</v>
      </c>
      <c r="F18" s="15">
        <v>12</v>
      </c>
      <c r="G18">
        <v>2.8479999999999998E-3</v>
      </c>
      <c r="H18">
        <v>8.2597405895549494E-2</v>
      </c>
      <c r="I18">
        <v>2.2360679774997901E-2</v>
      </c>
      <c r="J18" s="16">
        <v>1.9429999999999999E-5</v>
      </c>
      <c r="K18" s="16">
        <v>1.424E-6</v>
      </c>
      <c r="L18">
        <v>1.9430000000000001E-4</v>
      </c>
      <c r="M18" s="16">
        <v>2.847E-5</v>
      </c>
      <c r="N18">
        <v>0</v>
      </c>
      <c r="O18" s="16">
        <v>6.9800000000000003E-8</v>
      </c>
      <c r="P18">
        <v>0</v>
      </c>
      <c r="Q18">
        <v>0</v>
      </c>
      <c r="R18">
        <v>2.2000000000000001E-4</v>
      </c>
      <c r="S18" s="16">
        <v>4.46E-5</v>
      </c>
      <c r="T18" s="16">
        <v>1.3120620057398E-8</v>
      </c>
      <c r="U18">
        <v>1.42E-3</v>
      </c>
      <c r="V18">
        <v>1.0280000000000001E-3</v>
      </c>
    </row>
    <row r="19" spans="1:22" x14ac:dyDescent="0.25">
      <c r="A19" t="s">
        <v>118</v>
      </c>
      <c r="B19" s="15">
        <v>102</v>
      </c>
      <c r="C19" s="15">
        <v>202</v>
      </c>
      <c r="D19" s="15">
        <v>9.5</v>
      </c>
      <c r="E19" s="15">
        <v>6.2</v>
      </c>
      <c r="F19" s="15">
        <v>12</v>
      </c>
      <c r="G19">
        <v>3.1960000000000001E-3</v>
      </c>
      <c r="H19">
        <v>8.3174650754663196E-2</v>
      </c>
      <c r="I19">
        <v>2.2988542610705098E-2</v>
      </c>
      <c r="J19" s="16">
        <v>2.211E-5</v>
      </c>
      <c r="K19" s="16">
        <v>1.689E-6</v>
      </c>
      <c r="L19">
        <v>2.1890000000000001E-4</v>
      </c>
      <c r="M19" s="16">
        <v>3.3099999999999998E-5</v>
      </c>
      <c r="N19">
        <v>0</v>
      </c>
      <c r="O19" s="16">
        <v>9.4500000000000006E-8</v>
      </c>
      <c r="P19">
        <v>0</v>
      </c>
      <c r="Q19">
        <v>0</v>
      </c>
      <c r="R19">
        <v>2.5000000000000001E-4</v>
      </c>
      <c r="S19" s="16">
        <v>5.1999999999999997E-5</v>
      </c>
      <c r="T19" s="16">
        <v>1.5724739714062499E-8</v>
      </c>
      <c r="U19">
        <v>0</v>
      </c>
      <c r="V19">
        <v>0</v>
      </c>
    </row>
    <row r="20" spans="1:22" x14ac:dyDescent="0.25">
      <c r="A20" t="s">
        <v>119</v>
      </c>
      <c r="B20" s="15">
        <v>98</v>
      </c>
      <c r="C20" s="15">
        <v>204</v>
      </c>
      <c r="D20" s="15">
        <v>10.5</v>
      </c>
      <c r="E20" s="15">
        <v>6.6</v>
      </c>
      <c r="F20" s="15">
        <v>12</v>
      </c>
      <c r="G20">
        <v>3.3899999999999998E-3</v>
      </c>
      <c r="H20">
        <v>8.36130997061936E-2</v>
      </c>
      <c r="I20">
        <v>2.2128613065987401E-2</v>
      </c>
      <c r="J20" s="16">
        <v>2.37E-5</v>
      </c>
      <c r="K20" s="16">
        <v>1.66E-6</v>
      </c>
      <c r="L20">
        <v>2.32E-4</v>
      </c>
      <c r="M20" s="16">
        <v>3.3800000000000002E-5</v>
      </c>
      <c r="N20">
        <v>0</v>
      </c>
      <c r="O20" s="16">
        <v>1.1600000000000001E-7</v>
      </c>
      <c r="P20">
        <v>0</v>
      </c>
      <c r="Q20">
        <v>0</v>
      </c>
      <c r="R20">
        <v>2.6600000000000001E-4</v>
      </c>
      <c r="S20" s="16">
        <v>5.3199999999999999E-5</v>
      </c>
      <c r="T20" s="16">
        <v>1.5574974419812502E-8</v>
      </c>
      <c r="U20">
        <v>0</v>
      </c>
      <c r="V20">
        <v>0</v>
      </c>
    </row>
    <row r="21" spans="1:22" x14ac:dyDescent="0.25">
      <c r="A21" t="s">
        <v>120</v>
      </c>
      <c r="B21" s="15">
        <v>100</v>
      </c>
      <c r="C21" s="15">
        <v>197</v>
      </c>
      <c r="D21" s="15">
        <v>7</v>
      </c>
      <c r="E21" s="15">
        <v>4.5</v>
      </c>
      <c r="F21" s="15">
        <v>12</v>
      </c>
      <c r="G21">
        <v>2.3470000000000001E-3</v>
      </c>
      <c r="H21">
        <v>8.23338729701307E-2</v>
      </c>
      <c r="I21">
        <v>2.2346384187106199E-2</v>
      </c>
      <c r="J21" s="16">
        <v>1.5909999999999998E-5</v>
      </c>
      <c r="K21" s="16">
        <v>1.172E-6</v>
      </c>
      <c r="L21">
        <v>1.616E-4</v>
      </c>
      <c r="M21" s="16">
        <v>2.3430000000000001E-5</v>
      </c>
      <c r="N21">
        <v>0</v>
      </c>
      <c r="O21" s="16">
        <v>4.1099999999999997E-8</v>
      </c>
      <c r="P21">
        <v>0</v>
      </c>
      <c r="Q21">
        <v>0</v>
      </c>
      <c r="R21">
        <v>1.8220000000000001E-4</v>
      </c>
      <c r="S21" s="16">
        <v>3.6600000000000002E-5</v>
      </c>
      <c r="T21" s="16">
        <v>1.0636607142857099E-8</v>
      </c>
      <c r="U21">
        <v>0</v>
      </c>
      <c r="V21">
        <v>0</v>
      </c>
    </row>
    <row r="22" spans="1:22" x14ac:dyDescent="0.25">
      <c r="A22" t="s">
        <v>121</v>
      </c>
      <c r="B22" s="15">
        <v>110</v>
      </c>
      <c r="C22" s="15">
        <v>220</v>
      </c>
      <c r="D22" s="15">
        <v>9.1999999999999993</v>
      </c>
      <c r="E22" s="15">
        <v>5.9</v>
      </c>
      <c r="F22" s="15">
        <v>12</v>
      </c>
      <c r="G22">
        <v>3.3370000000000001E-3</v>
      </c>
      <c r="H22">
        <v>9.1141990604241094E-2</v>
      </c>
      <c r="I22">
        <v>2.4779519223942399E-2</v>
      </c>
      <c r="J22" s="16">
        <v>2.7719999999999999E-5</v>
      </c>
      <c r="K22" s="16">
        <v>2.0490000000000002E-6</v>
      </c>
      <c r="L22">
        <v>2.52E-4</v>
      </c>
      <c r="M22" s="16">
        <v>3.7249999999999997E-5</v>
      </c>
      <c r="N22">
        <v>0</v>
      </c>
      <c r="O22" s="16">
        <v>9.0699999999999998E-8</v>
      </c>
      <c r="P22">
        <v>0</v>
      </c>
      <c r="Q22">
        <v>0</v>
      </c>
      <c r="R22">
        <v>2.8600000000000001E-4</v>
      </c>
      <c r="S22" s="16">
        <v>5.8199999999999998E-5</v>
      </c>
      <c r="T22" s="16">
        <v>2.2903664051586801E-8</v>
      </c>
      <c r="U22">
        <v>1.6999999999999999E-3</v>
      </c>
      <c r="V22">
        <v>1.194E-3</v>
      </c>
    </row>
    <row r="23" spans="1:22" x14ac:dyDescent="0.25">
      <c r="A23" t="s">
        <v>122</v>
      </c>
      <c r="B23" s="15">
        <v>112</v>
      </c>
      <c r="C23" s="15">
        <v>222</v>
      </c>
      <c r="D23" s="15">
        <v>10.199999999999999</v>
      </c>
      <c r="E23" s="15">
        <v>6.6</v>
      </c>
      <c r="F23" s="15">
        <v>12</v>
      </c>
      <c r="G23">
        <v>3.7390000000000001E-3</v>
      </c>
      <c r="H23">
        <v>9.1552827916702495E-2</v>
      </c>
      <c r="I23">
        <v>2.5324848548380199E-2</v>
      </c>
      <c r="J23" s="16">
        <v>3.1340000000000001E-5</v>
      </c>
      <c r="K23" s="16">
        <v>2.3980000000000002E-6</v>
      </c>
      <c r="L23">
        <v>2.8229999999999998E-4</v>
      </c>
      <c r="M23" s="16">
        <v>4.2830000000000002E-5</v>
      </c>
      <c r="N23">
        <v>0</v>
      </c>
      <c r="O23" s="16">
        <v>1.2270000000000001E-7</v>
      </c>
      <c r="P23">
        <v>0</v>
      </c>
      <c r="Q23">
        <v>0</v>
      </c>
      <c r="R23">
        <v>3.2200000000000002E-4</v>
      </c>
      <c r="S23" s="16">
        <v>6.7000000000000002E-5</v>
      </c>
      <c r="T23" s="16">
        <v>2.7058518912482001E-8</v>
      </c>
      <c r="U23">
        <v>0</v>
      </c>
      <c r="V23">
        <v>0</v>
      </c>
    </row>
    <row r="24" spans="1:22" x14ac:dyDescent="0.25">
      <c r="A24" t="s">
        <v>123</v>
      </c>
      <c r="B24" s="15">
        <v>108</v>
      </c>
      <c r="C24" s="15">
        <v>225</v>
      </c>
      <c r="D24" s="15">
        <v>11.8</v>
      </c>
      <c r="E24" s="15">
        <v>6.7</v>
      </c>
      <c r="F24" s="15">
        <v>12</v>
      </c>
      <c r="G24">
        <v>4.0299999999999997E-3</v>
      </c>
      <c r="H24">
        <v>9.2925969093735697E-2</v>
      </c>
      <c r="I24">
        <v>2.48569106077722E-2</v>
      </c>
      <c r="J24" s="16">
        <v>3.4799999999999999E-5</v>
      </c>
      <c r="K24" s="16">
        <v>2.4899999999999999E-6</v>
      </c>
      <c r="L24">
        <v>3.0899999999999998E-4</v>
      </c>
      <c r="M24" s="16">
        <v>4.6100000000000002E-5</v>
      </c>
      <c r="N24">
        <v>0</v>
      </c>
      <c r="O24" s="16">
        <v>1.6199999999999999E-7</v>
      </c>
      <c r="P24">
        <v>0</v>
      </c>
      <c r="Q24">
        <v>0</v>
      </c>
      <c r="R24">
        <v>3.5199999999999999E-4</v>
      </c>
      <c r="S24" s="16">
        <v>7.1799999999999997E-5</v>
      </c>
      <c r="T24" s="16">
        <v>2.8439735823119E-8</v>
      </c>
      <c r="U24">
        <v>0</v>
      </c>
      <c r="V24">
        <v>0</v>
      </c>
    </row>
    <row r="25" spans="1:22" x14ac:dyDescent="0.25">
      <c r="A25" t="s">
        <v>124</v>
      </c>
      <c r="B25" s="15">
        <v>110</v>
      </c>
      <c r="C25" s="15">
        <v>217</v>
      </c>
      <c r="D25" s="15">
        <v>7.7</v>
      </c>
      <c r="E25" s="15">
        <v>5</v>
      </c>
      <c r="F25" s="15">
        <v>12</v>
      </c>
      <c r="G25">
        <v>2.826E-3</v>
      </c>
      <c r="H25">
        <v>9.0547598849811506E-2</v>
      </c>
      <c r="I25">
        <v>2.4627443423309199E-2</v>
      </c>
      <c r="J25" s="16">
        <v>2.317E-5</v>
      </c>
      <c r="K25" s="16">
        <v>1.714E-6</v>
      </c>
      <c r="L25">
        <v>2.1350000000000001E-4</v>
      </c>
      <c r="M25" s="16">
        <v>3.1170000000000001E-5</v>
      </c>
      <c r="N25">
        <v>0</v>
      </c>
      <c r="O25" s="16">
        <v>5.69E-8</v>
      </c>
      <c r="P25">
        <v>0</v>
      </c>
      <c r="Q25">
        <v>0</v>
      </c>
      <c r="R25">
        <v>2.4000000000000001E-4</v>
      </c>
      <c r="S25" s="16">
        <v>4.8600000000000002E-5</v>
      </c>
      <c r="T25" s="16">
        <v>1.88975326582738E-8</v>
      </c>
      <c r="U25">
        <v>0</v>
      </c>
      <c r="V25">
        <v>0</v>
      </c>
    </row>
    <row r="26" spans="1:22" x14ac:dyDescent="0.25">
      <c r="A26" t="s">
        <v>125</v>
      </c>
      <c r="B26" s="15">
        <v>120</v>
      </c>
      <c r="C26" s="15">
        <v>237</v>
      </c>
      <c r="D26" s="15">
        <v>8.3000000000000007</v>
      </c>
      <c r="E26" s="15">
        <v>5.2</v>
      </c>
      <c r="F26" s="15">
        <v>15</v>
      </c>
      <c r="G26">
        <v>3.3310000000000002E-3</v>
      </c>
      <c r="H26">
        <v>9.9382663677765201E-2</v>
      </c>
      <c r="I26">
        <v>2.68478036940498E-2</v>
      </c>
      <c r="J26" s="16">
        <v>3.29E-5</v>
      </c>
      <c r="K26" s="16">
        <v>2.401E-6</v>
      </c>
      <c r="L26">
        <v>2.7769999999999997E-4</v>
      </c>
      <c r="M26" s="16">
        <v>4.002E-5</v>
      </c>
      <c r="N26">
        <v>0</v>
      </c>
      <c r="O26" s="16">
        <v>8.35E-8</v>
      </c>
      <c r="P26">
        <v>0</v>
      </c>
      <c r="Q26">
        <v>0</v>
      </c>
      <c r="R26">
        <v>3.1199999999999999E-4</v>
      </c>
      <c r="S26" s="16">
        <v>6.2399999999999999E-5</v>
      </c>
      <c r="T26" s="16">
        <v>3.1575631583718901E-8</v>
      </c>
      <c r="U26">
        <v>0</v>
      </c>
      <c r="V26">
        <v>0</v>
      </c>
    </row>
    <row r="27" spans="1:22" x14ac:dyDescent="0.25">
      <c r="A27" t="s">
        <v>126</v>
      </c>
      <c r="B27" s="15">
        <v>120</v>
      </c>
      <c r="C27" s="15">
        <v>240</v>
      </c>
      <c r="D27" s="15">
        <v>9.8000000000000007</v>
      </c>
      <c r="E27" s="15">
        <v>6.2</v>
      </c>
      <c r="F27" s="15">
        <v>15</v>
      </c>
      <c r="G27">
        <v>3.9119999999999997E-3</v>
      </c>
      <c r="H27">
        <v>9.9744048722837195E-2</v>
      </c>
      <c r="I27">
        <v>2.69248746562658E-2</v>
      </c>
      <c r="J27" s="16">
        <v>3.892E-5</v>
      </c>
      <c r="K27" s="16">
        <v>2.836E-6</v>
      </c>
      <c r="L27">
        <v>3.2430000000000002E-4</v>
      </c>
      <c r="M27" s="16">
        <v>4.727E-5</v>
      </c>
      <c r="N27">
        <v>0</v>
      </c>
      <c r="O27" s="16">
        <v>1.2879999999999999E-7</v>
      </c>
      <c r="P27">
        <v>0</v>
      </c>
      <c r="Q27">
        <v>0</v>
      </c>
      <c r="R27">
        <v>3.6600000000000001E-4</v>
      </c>
      <c r="S27" s="16">
        <v>7.3999999999999996E-5</v>
      </c>
      <c r="T27" s="16">
        <v>3.7772726784566698E-8</v>
      </c>
      <c r="U27">
        <v>1.9789999999999999E-3</v>
      </c>
      <c r="V27">
        <v>1.3699999999999999E-3</v>
      </c>
    </row>
    <row r="28" spans="1:22" x14ac:dyDescent="0.25">
      <c r="A28" t="s">
        <v>127</v>
      </c>
      <c r="B28" s="15">
        <v>118</v>
      </c>
      <c r="C28" s="15">
        <v>245</v>
      </c>
      <c r="D28" s="15">
        <v>12.3</v>
      </c>
      <c r="E28" s="15">
        <v>7.5</v>
      </c>
      <c r="F28" s="15">
        <v>15</v>
      </c>
      <c r="G28">
        <v>4.7600000000000003E-3</v>
      </c>
      <c r="H28">
        <v>0.10073261052672799</v>
      </c>
      <c r="I28">
        <v>2.6686792125498699E-2</v>
      </c>
      <c r="J28" s="16">
        <v>4.8300000000000002E-5</v>
      </c>
      <c r="K28" s="16">
        <v>3.3900000000000002E-6</v>
      </c>
      <c r="L28">
        <v>3.9399999999999998E-4</v>
      </c>
      <c r="M28" s="16">
        <v>5.7399999999999999E-5</v>
      </c>
      <c r="N28">
        <v>0</v>
      </c>
      <c r="O28" s="16">
        <v>2.2700000000000001E-7</v>
      </c>
      <c r="P28">
        <v>0</v>
      </c>
      <c r="Q28">
        <v>0</v>
      </c>
      <c r="R28">
        <v>4.4999999999999999E-4</v>
      </c>
      <c r="S28" s="16">
        <v>9.0199999999999997E-5</v>
      </c>
      <c r="T28" s="16">
        <v>4.60618931065871E-8</v>
      </c>
      <c r="U28">
        <v>0</v>
      </c>
      <c r="V28">
        <v>0</v>
      </c>
    </row>
    <row r="29" spans="1:22" x14ac:dyDescent="0.25">
      <c r="A29" t="s">
        <v>128</v>
      </c>
      <c r="B29" s="15">
        <v>122</v>
      </c>
      <c r="C29" s="15">
        <v>242</v>
      </c>
      <c r="D29" s="15">
        <v>10.8</v>
      </c>
      <c r="E29" s="15">
        <v>7</v>
      </c>
      <c r="F29" s="15">
        <v>15</v>
      </c>
      <c r="G29">
        <v>4.3709999999999999E-3</v>
      </c>
      <c r="H29">
        <v>9.9977119322432403E-2</v>
      </c>
      <c r="I29">
        <v>2.7414307743329699E-2</v>
      </c>
      <c r="J29" s="16">
        <v>4.3689999999999997E-5</v>
      </c>
      <c r="K29" s="16">
        <v>3.2849999999999999E-6</v>
      </c>
      <c r="L29">
        <v>3.611E-4</v>
      </c>
      <c r="M29" s="16">
        <v>5.3860000000000003E-5</v>
      </c>
      <c r="N29">
        <v>0</v>
      </c>
      <c r="O29" s="16">
        <v>1.7179999999999999E-7</v>
      </c>
      <c r="P29">
        <v>0</v>
      </c>
      <c r="Q29">
        <v>0</v>
      </c>
      <c r="R29">
        <v>4.1199999999999999E-4</v>
      </c>
      <c r="S29" s="16">
        <v>8.4400000000000005E-5</v>
      </c>
      <c r="T29" s="16">
        <v>4.41241945872511E-8</v>
      </c>
      <c r="U29">
        <v>0</v>
      </c>
      <c r="V29">
        <v>0</v>
      </c>
    </row>
    <row r="30" spans="1:22" x14ac:dyDescent="0.25">
      <c r="A30" t="s">
        <v>129</v>
      </c>
      <c r="B30" s="15">
        <v>135</v>
      </c>
      <c r="C30" s="15">
        <v>267</v>
      </c>
      <c r="D30" s="15">
        <v>8.6999999999999993</v>
      </c>
      <c r="E30" s="15">
        <v>5.5</v>
      </c>
      <c r="F30" s="15">
        <v>15</v>
      </c>
      <c r="G30">
        <v>3.9150000000000001E-3</v>
      </c>
      <c r="H30">
        <v>0.112068670792421</v>
      </c>
      <c r="I30">
        <v>3.0239571310657899E-2</v>
      </c>
      <c r="J30" s="16">
        <v>4.9169999999999998E-5</v>
      </c>
      <c r="K30" s="16">
        <v>3.58E-6</v>
      </c>
      <c r="L30">
        <v>3.6830000000000001E-4</v>
      </c>
      <c r="M30" s="16">
        <v>5.3029999999999999E-5</v>
      </c>
      <c r="N30">
        <v>0</v>
      </c>
      <c r="O30" s="16">
        <v>1.03E-7</v>
      </c>
      <c r="P30">
        <v>0</v>
      </c>
      <c r="Q30">
        <v>0</v>
      </c>
      <c r="R30">
        <v>4.1399999999999998E-4</v>
      </c>
      <c r="S30" s="16">
        <v>8.2399999999999997E-5</v>
      </c>
      <c r="T30" s="16">
        <v>6.0112838933179902E-8</v>
      </c>
      <c r="U30">
        <v>0</v>
      </c>
      <c r="V30">
        <v>0</v>
      </c>
    </row>
    <row r="31" spans="1:22" x14ac:dyDescent="0.25">
      <c r="A31" t="s">
        <v>130</v>
      </c>
      <c r="B31" s="15">
        <v>135</v>
      </c>
      <c r="C31" s="15">
        <v>270</v>
      </c>
      <c r="D31" s="15">
        <v>10.199999999999999</v>
      </c>
      <c r="E31" s="15">
        <v>6.6</v>
      </c>
      <c r="F31" s="15">
        <v>15</v>
      </c>
      <c r="G31">
        <v>4.594E-3</v>
      </c>
      <c r="H31">
        <v>0.112264846383743</v>
      </c>
      <c r="I31">
        <v>3.0232735316527301E-2</v>
      </c>
      <c r="J31" s="16">
        <v>5.7899999999999998E-5</v>
      </c>
      <c r="K31" s="16">
        <v>4.1989999999999999E-6</v>
      </c>
      <c r="L31">
        <v>4.2890000000000002E-4</v>
      </c>
      <c r="M31" s="16">
        <v>6.2199999999999994E-5</v>
      </c>
      <c r="N31">
        <v>0</v>
      </c>
      <c r="O31" s="16">
        <v>1.5940000000000001E-7</v>
      </c>
      <c r="P31">
        <v>0</v>
      </c>
      <c r="Q31">
        <v>0</v>
      </c>
      <c r="R31">
        <v>4.84E-4</v>
      </c>
      <c r="S31" s="16">
        <v>9.7E-5</v>
      </c>
      <c r="T31" s="16">
        <v>7.12980480891664E-8</v>
      </c>
      <c r="U31">
        <v>2.3110000000000001E-3</v>
      </c>
      <c r="V31">
        <v>1.6459999999999999E-3</v>
      </c>
    </row>
    <row r="32" spans="1:22" x14ac:dyDescent="0.25">
      <c r="A32" t="s">
        <v>131</v>
      </c>
      <c r="B32" s="15">
        <v>133</v>
      </c>
      <c r="C32" s="15">
        <v>276</v>
      </c>
      <c r="D32" s="15">
        <v>13.1</v>
      </c>
      <c r="E32" s="15">
        <v>7.7</v>
      </c>
      <c r="F32" s="15">
        <v>15</v>
      </c>
      <c r="G32">
        <v>5.6100000000000004E-3</v>
      </c>
      <c r="H32">
        <v>0.114228404270768</v>
      </c>
      <c r="I32">
        <v>3.0327975472436101E-2</v>
      </c>
      <c r="J32" s="16">
        <v>7.3200000000000004E-5</v>
      </c>
      <c r="K32" s="16">
        <v>5.1599999999999997E-6</v>
      </c>
      <c r="L32">
        <v>5.31E-4</v>
      </c>
      <c r="M32" s="16">
        <v>7.7600000000000002E-5</v>
      </c>
      <c r="N32">
        <v>0</v>
      </c>
      <c r="O32" s="16">
        <v>2.8799999999999998E-7</v>
      </c>
      <c r="P32">
        <v>0</v>
      </c>
      <c r="Q32">
        <v>0</v>
      </c>
      <c r="R32">
        <v>6.02E-4</v>
      </c>
      <c r="S32">
        <v>1.21E-4</v>
      </c>
      <c r="T32" s="16">
        <v>8.9661351186759397E-8</v>
      </c>
      <c r="U32">
        <v>0</v>
      </c>
      <c r="V32">
        <v>0</v>
      </c>
    </row>
    <row r="33" spans="1:22" x14ac:dyDescent="0.25">
      <c r="A33" t="s">
        <v>132</v>
      </c>
      <c r="B33" s="15">
        <v>136</v>
      </c>
      <c r="C33" s="15">
        <v>274</v>
      </c>
      <c r="D33" s="15">
        <v>12.2</v>
      </c>
      <c r="E33" s="15">
        <v>7.5</v>
      </c>
      <c r="F33" s="15">
        <v>15</v>
      </c>
      <c r="G33">
        <v>5.3839999999999999E-3</v>
      </c>
      <c r="H33">
        <v>0.113591575666539</v>
      </c>
      <c r="I33">
        <v>3.0882873204336501E-2</v>
      </c>
      <c r="J33" s="16">
        <v>6.9469999999999997E-5</v>
      </c>
      <c r="K33" s="16">
        <v>5.135E-6</v>
      </c>
      <c r="L33">
        <v>5.0710000000000002E-4</v>
      </c>
      <c r="M33" s="16">
        <v>7.551E-5</v>
      </c>
      <c r="N33">
        <v>0</v>
      </c>
      <c r="O33" s="16">
        <v>2.4900000000000002E-7</v>
      </c>
      <c r="P33">
        <v>0</v>
      </c>
      <c r="Q33">
        <v>0</v>
      </c>
      <c r="R33">
        <v>5.7600000000000001E-4</v>
      </c>
      <c r="S33">
        <v>1.178E-4</v>
      </c>
      <c r="T33" s="16">
        <v>8.8534738984467703E-8</v>
      </c>
      <c r="U33">
        <v>0</v>
      </c>
      <c r="V33">
        <v>0</v>
      </c>
    </row>
    <row r="34" spans="1:22" x14ac:dyDescent="0.25">
      <c r="A34" t="s">
        <v>133</v>
      </c>
      <c r="B34" s="15">
        <v>150</v>
      </c>
      <c r="C34" s="15">
        <v>297</v>
      </c>
      <c r="D34" s="15">
        <v>9.1999999999999993</v>
      </c>
      <c r="E34" s="15">
        <v>6.1</v>
      </c>
      <c r="F34" s="15">
        <v>15</v>
      </c>
      <c r="G34">
        <v>4.653E-3</v>
      </c>
      <c r="H34">
        <v>0.124160624736708</v>
      </c>
      <c r="I34">
        <v>3.3397745631730202E-2</v>
      </c>
      <c r="J34" s="16">
        <v>7.1730000000000006E-5</v>
      </c>
      <c r="K34" s="16">
        <v>5.1900000000000003E-6</v>
      </c>
      <c r="L34">
        <v>4.8309999999999998E-4</v>
      </c>
      <c r="M34" s="16">
        <v>6.9200000000000002E-5</v>
      </c>
      <c r="N34">
        <v>0</v>
      </c>
      <c r="O34" s="16">
        <v>1.343E-7</v>
      </c>
      <c r="P34">
        <v>0</v>
      </c>
      <c r="Q34">
        <v>0</v>
      </c>
      <c r="R34">
        <v>5.4199999999999995E-4</v>
      </c>
      <c r="S34">
        <v>1.0739999999999999E-4</v>
      </c>
      <c r="T34" s="16">
        <v>1.08253277116011E-7</v>
      </c>
      <c r="U34">
        <v>0</v>
      </c>
      <c r="V34">
        <v>0</v>
      </c>
    </row>
    <row r="35" spans="1:22" x14ac:dyDescent="0.25">
      <c r="A35" t="s">
        <v>134</v>
      </c>
      <c r="B35" s="15">
        <v>150</v>
      </c>
      <c r="C35" s="15">
        <v>300</v>
      </c>
      <c r="D35" s="15">
        <v>10.7</v>
      </c>
      <c r="E35" s="15">
        <v>7.1</v>
      </c>
      <c r="F35" s="15">
        <v>15</v>
      </c>
      <c r="G35">
        <v>5.3810000000000004E-3</v>
      </c>
      <c r="H35">
        <v>0.124614253339218</v>
      </c>
      <c r="I35">
        <v>3.3497705363723401E-2</v>
      </c>
      <c r="J35" s="16">
        <v>8.3560000000000006E-5</v>
      </c>
      <c r="K35" s="16">
        <v>6.0379999999999996E-6</v>
      </c>
      <c r="L35">
        <v>5.5710000000000004E-4</v>
      </c>
      <c r="M35" s="16">
        <v>8.0500000000000005E-5</v>
      </c>
      <c r="N35">
        <v>0</v>
      </c>
      <c r="O35" s="16">
        <v>2.012E-7</v>
      </c>
      <c r="P35">
        <v>0</v>
      </c>
      <c r="Q35">
        <v>0</v>
      </c>
      <c r="R35">
        <v>6.2799999999999998E-4</v>
      </c>
      <c r="S35">
        <v>1.2520000000000001E-4</v>
      </c>
      <c r="T35" s="16">
        <v>1.2721909217820301E-7</v>
      </c>
      <c r="U35">
        <v>2.6940000000000002E-3</v>
      </c>
      <c r="V35">
        <v>1.97E-3</v>
      </c>
    </row>
    <row r="36" spans="1:22" x14ac:dyDescent="0.25">
      <c r="A36" t="s">
        <v>135</v>
      </c>
      <c r="B36" s="15">
        <v>147</v>
      </c>
      <c r="C36" s="15">
        <v>306</v>
      </c>
      <c r="D36" s="15">
        <v>13.7</v>
      </c>
      <c r="E36" s="15">
        <v>8.5</v>
      </c>
      <c r="F36" s="15">
        <v>15</v>
      </c>
      <c r="G36">
        <v>6.6E-3</v>
      </c>
      <c r="H36">
        <v>0.126131244777378</v>
      </c>
      <c r="I36">
        <v>3.3211900021382398E-2</v>
      </c>
      <c r="J36">
        <v>1.05E-4</v>
      </c>
      <c r="K36" s="16">
        <v>7.2799999999999998E-6</v>
      </c>
      <c r="L36">
        <v>6.87E-4</v>
      </c>
      <c r="M36" s="16">
        <v>9.9099999999999996E-5</v>
      </c>
      <c r="N36">
        <v>0</v>
      </c>
      <c r="O36" s="16">
        <v>3.7099999999999997E-7</v>
      </c>
      <c r="P36">
        <v>0</v>
      </c>
      <c r="Q36">
        <v>0</v>
      </c>
      <c r="R36">
        <v>7.7999999999999999E-4</v>
      </c>
      <c r="S36">
        <v>1.5459999999999999E-4</v>
      </c>
      <c r="T36" s="16">
        <v>1.5650494844812501E-7</v>
      </c>
      <c r="U36">
        <v>0</v>
      </c>
      <c r="V36">
        <v>0</v>
      </c>
    </row>
    <row r="37" spans="1:22" x14ac:dyDescent="0.25">
      <c r="A37" t="s">
        <v>136</v>
      </c>
      <c r="B37" s="15">
        <v>152</v>
      </c>
      <c r="C37" s="15">
        <v>304</v>
      </c>
      <c r="D37" s="15">
        <v>12.7</v>
      </c>
      <c r="E37" s="15">
        <v>8</v>
      </c>
      <c r="F37" s="15">
        <v>15</v>
      </c>
      <c r="G37">
        <v>6.2830000000000004E-3</v>
      </c>
      <c r="H37">
        <v>0.12612063325790801</v>
      </c>
      <c r="I37">
        <v>3.4450738946707901E-2</v>
      </c>
      <c r="J37" s="16">
        <v>9.9939999999999995E-5</v>
      </c>
      <c r="K37" s="16">
        <v>7.4569999999999999E-6</v>
      </c>
      <c r="L37">
        <v>6.5749999999999999E-4</v>
      </c>
      <c r="M37" s="16">
        <v>9.8120000000000002E-5</v>
      </c>
      <c r="N37">
        <v>0</v>
      </c>
      <c r="O37" s="16">
        <v>3.1059999999999999E-7</v>
      </c>
      <c r="P37">
        <v>0</v>
      </c>
      <c r="Q37">
        <v>0</v>
      </c>
      <c r="R37">
        <v>7.4399999999999998E-4</v>
      </c>
      <c r="S37">
        <v>1.526E-4</v>
      </c>
      <c r="T37" s="16">
        <v>1.59299101148918E-7</v>
      </c>
      <c r="U37">
        <v>0</v>
      </c>
      <c r="V37">
        <v>0</v>
      </c>
    </row>
    <row r="38" spans="1:22" x14ac:dyDescent="0.25">
      <c r="A38" t="s">
        <v>137</v>
      </c>
      <c r="B38" s="15">
        <v>160</v>
      </c>
      <c r="C38" s="15">
        <v>327</v>
      </c>
      <c r="D38" s="15">
        <v>10</v>
      </c>
      <c r="E38" s="15">
        <v>6.5</v>
      </c>
      <c r="F38" s="15">
        <v>18</v>
      </c>
      <c r="G38">
        <v>5.4739999999999997E-3</v>
      </c>
      <c r="H38">
        <v>0.136705321415001</v>
      </c>
      <c r="I38">
        <v>3.5379873894622799E-2</v>
      </c>
      <c r="J38">
        <v>1.0230000000000001E-4</v>
      </c>
      <c r="K38" s="16">
        <v>6.8519999999999998E-6</v>
      </c>
      <c r="L38">
        <v>6.2569999999999998E-4</v>
      </c>
      <c r="M38" s="16">
        <v>8.564E-5</v>
      </c>
      <c r="N38">
        <v>0</v>
      </c>
      <c r="O38" s="16">
        <v>1.9570000000000001E-7</v>
      </c>
      <c r="P38">
        <v>0</v>
      </c>
      <c r="Q38">
        <v>0</v>
      </c>
      <c r="R38">
        <v>7.0399999999999998E-4</v>
      </c>
      <c r="S38">
        <v>1.3339999999999999E-4</v>
      </c>
      <c r="T38" s="16">
        <v>1.7325123918367299E-7</v>
      </c>
      <c r="U38">
        <v>0</v>
      </c>
      <c r="V38">
        <v>0</v>
      </c>
    </row>
    <row r="39" spans="1:22" x14ac:dyDescent="0.25">
      <c r="A39" t="s">
        <v>138</v>
      </c>
      <c r="B39" s="15">
        <v>160</v>
      </c>
      <c r="C39" s="15">
        <v>330</v>
      </c>
      <c r="D39" s="15">
        <v>11.5</v>
      </c>
      <c r="E39" s="15">
        <v>7.5</v>
      </c>
      <c r="F39" s="15">
        <v>18</v>
      </c>
      <c r="G39">
        <v>6.2610000000000001E-3</v>
      </c>
      <c r="H39">
        <v>0.13710913139363001</v>
      </c>
      <c r="I39">
        <v>3.5478790981194698E-2</v>
      </c>
      <c r="J39">
        <v>1.177E-4</v>
      </c>
      <c r="K39" s="16">
        <v>7.8809999999999996E-6</v>
      </c>
      <c r="L39">
        <v>7.1310000000000004E-4</v>
      </c>
      <c r="M39" s="16">
        <v>9.8519999999999999E-5</v>
      </c>
      <c r="N39">
        <v>0</v>
      </c>
      <c r="O39" s="16">
        <v>2.8150000000000003E-7</v>
      </c>
      <c r="P39">
        <v>0</v>
      </c>
      <c r="Q39">
        <v>0</v>
      </c>
      <c r="R39">
        <v>8.0400000000000003E-4</v>
      </c>
      <c r="S39">
        <v>1.538E-4</v>
      </c>
      <c r="T39" s="16">
        <v>2.01128928E-7</v>
      </c>
      <c r="U39">
        <v>3.0839999999999999E-3</v>
      </c>
      <c r="V39">
        <v>2.2959999999999999E-3</v>
      </c>
    </row>
    <row r="40" spans="1:22" x14ac:dyDescent="0.25">
      <c r="A40" t="s">
        <v>139</v>
      </c>
      <c r="B40" s="15">
        <v>158</v>
      </c>
      <c r="C40" s="15">
        <v>336</v>
      </c>
      <c r="D40" s="15">
        <v>14.5</v>
      </c>
      <c r="E40" s="15">
        <v>9.1999999999999993</v>
      </c>
      <c r="F40" s="15">
        <v>18</v>
      </c>
      <c r="G40">
        <v>7.7000000000000002E-3</v>
      </c>
      <c r="H40">
        <v>0.13816985594155101</v>
      </c>
      <c r="I40">
        <v>3.5272593385741298E-2</v>
      </c>
      <c r="J40">
        <v>1.47E-4</v>
      </c>
      <c r="K40" s="16">
        <v>9.5799999999999998E-6</v>
      </c>
      <c r="L40">
        <v>8.7600000000000004E-4</v>
      </c>
      <c r="M40">
        <v>1.21E-4</v>
      </c>
      <c r="N40">
        <v>0</v>
      </c>
      <c r="O40" s="16">
        <v>5.0800000000000005E-7</v>
      </c>
      <c r="P40">
        <v>0</v>
      </c>
      <c r="Q40">
        <v>0</v>
      </c>
      <c r="R40">
        <v>9.9599999999999992E-4</v>
      </c>
      <c r="S40">
        <v>1.9000000000000001E-4</v>
      </c>
      <c r="T40" s="16">
        <v>2.48827911742381E-7</v>
      </c>
      <c r="U40">
        <v>0</v>
      </c>
      <c r="V40">
        <v>0</v>
      </c>
    </row>
    <row r="41" spans="1:22" x14ac:dyDescent="0.25">
      <c r="A41" t="s">
        <v>140</v>
      </c>
      <c r="B41" s="15">
        <v>162</v>
      </c>
      <c r="C41" s="15">
        <v>334</v>
      </c>
      <c r="D41" s="15">
        <v>13.5</v>
      </c>
      <c r="E41" s="15">
        <v>8.5</v>
      </c>
      <c r="F41" s="15">
        <v>18</v>
      </c>
      <c r="G41">
        <v>7.2620000000000002E-3</v>
      </c>
      <c r="H41">
        <v>0.13839979368397001</v>
      </c>
      <c r="I41">
        <v>3.6366202558358499E-2</v>
      </c>
      <c r="J41">
        <v>1.3909999999999999E-4</v>
      </c>
      <c r="K41" s="16">
        <v>9.6039999999999999E-6</v>
      </c>
      <c r="L41">
        <v>8.3299999999999997E-4</v>
      </c>
      <c r="M41">
        <v>1.186E-4</v>
      </c>
      <c r="N41">
        <v>0</v>
      </c>
      <c r="O41" s="16">
        <v>4.2150000000000001E-7</v>
      </c>
      <c r="P41">
        <v>0</v>
      </c>
      <c r="Q41">
        <v>0</v>
      </c>
      <c r="R41">
        <v>9.4399999999999996E-4</v>
      </c>
      <c r="S41">
        <v>1.852E-4</v>
      </c>
      <c r="T41" s="16">
        <v>2.4816055801430001E-7</v>
      </c>
      <c r="U41">
        <v>0</v>
      </c>
      <c r="V41">
        <v>0</v>
      </c>
    </row>
    <row r="42" spans="1:22" x14ac:dyDescent="0.25">
      <c r="A42" t="s">
        <v>141</v>
      </c>
      <c r="B42" s="15">
        <v>170</v>
      </c>
      <c r="C42" s="15">
        <v>357.6</v>
      </c>
      <c r="D42" s="15">
        <v>11.5</v>
      </c>
      <c r="E42" s="15">
        <v>6.6</v>
      </c>
      <c r="F42" s="15">
        <v>18</v>
      </c>
      <c r="G42">
        <v>6.3959999999999998E-3</v>
      </c>
      <c r="H42">
        <v>0.150670795296723</v>
      </c>
      <c r="I42">
        <v>3.8423840186584401E-2</v>
      </c>
      <c r="J42">
        <v>1.4520000000000001E-4</v>
      </c>
      <c r="K42" s="16">
        <v>9.4429999999999992E-6</v>
      </c>
      <c r="L42">
        <v>8.118E-4</v>
      </c>
      <c r="M42">
        <v>1.111E-4</v>
      </c>
      <c r="N42">
        <v>0</v>
      </c>
      <c r="O42" s="16">
        <v>2.6510000000000001E-7</v>
      </c>
      <c r="P42">
        <v>0</v>
      </c>
      <c r="Q42">
        <v>0</v>
      </c>
      <c r="R42">
        <v>9.0799999999999995E-4</v>
      </c>
      <c r="S42">
        <v>1.7200000000000001E-4</v>
      </c>
      <c r="T42" s="16">
        <v>2.8486933095179201E-7</v>
      </c>
      <c r="U42">
        <v>0</v>
      </c>
      <c r="V42">
        <v>0</v>
      </c>
    </row>
    <row r="43" spans="1:22" x14ac:dyDescent="0.25">
      <c r="A43" t="s">
        <v>142</v>
      </c>
      <c r="B43" s="15">
        <v>172</v>
      </c>
      <c r="C43" s="15">
        <v>364</v>
      </c>
      <c r="D43" s="15">
        <v>14.7</v>
      </c>
      <c r="E43" s="15">
        <v>9.1999999999999993</v>
      </c>
      <c r="F43" s="15">
        <v>18</v>
      </c>
      <c r="G43">
        <v>8.4130000000000003E-3</v>
      </c>
      <c r="H43">
        <v>0.15047766569670401</v>
      </c>
      <c r="I43">
        <v>3.8561437069436301E-2</v>
      </c>
      <c r="J43">
        <v>1.905E-4</v>
      </c>
      <c r="K43" s="16">
        <v>1.2510000000000001E-5</v>
      </c>
      <c r="L43">
        <v>1.047E-3</v>
      </c>
      <c r="M43">
        <v>1.4550000000000001E-4</v>
      </c>
      <c r="N43">
        <v>0</v>
      </c>
      <c r="O43" s="16">
        <v>5.5759999999999996E-7</v>
      </c>
      <c r="P43">
        <v>0</v>
      </c>
      <c r="Q43">
        <v>0</v>
      </c>
      <c r="R43">
        <v>1.188E-3</v>
      </c>
      <c r="S43">
        <v>2.2800000000000001E-4</v>
      </c>
      <c r="T43" s="16">
        <v>3.84147241360982E-7</v>
      </c>
      <c r="U43">
        <v>0</v>
      </c>
      <c r="V43">
        <v>0</v>
      </c>
    </row>
    <row r="44" spans="1:22" x14ac:dyDescent="0.25">
      <c r="A44" t="s">
        <v>143</v>
      </c>
      <c r="B44" s="15">
        <v>168</v>
      </c>
      <c r="C44" s="15">
        <v>366</v>
      </c>
      <c r="D44" s="15">
        <v>16</v>
      </c>
      <c r="E44" s="15">
        <v>9.9</v>
      </c>
      <c r="F44" s="15">
        <v>18</v>
      </c>
      <c r="G44">
        <v>8.9700000000000005E-3</v>
      </c>
      <c r="H44">
        <v>0.15043600698040899</v>
      </c>
      <c r="I44">
        <v>3.7627523785991102E-2</v>
      </c>
      <c r="J44">
        <v>2.03E-4</v>
      </c>
      <c r="K44" s="16">
        <v>1.27E-5</v>
      </c>
      <c r="L44">
        <v>1.1100000000000001E-3</v>
      </c>
      <c r="M44">
        <v>1.5100000000000001E-4</v>
      </c>
      <c r="N44">
        <v>0</v>
      </c>
      <c r="O44" s="16">
        <v>6.8800000000000002E-7</v>
      </c>
      <c r="P44">
        <v>0</v>
      </c>
      <c r="Q44">
        <v>0</v>
      </c>
      <c r="R44">
        <v>1.2639999999999999E-3</v>
      </c>
      <c r="S44">
        <v>2.3599999999999999E-4</v>
      </c>
      <c r="T44" s="16">
        <v>3.9118463999999998E-7</v>
      </c>
      <c r="U44">
        <v>0</v>
      </c>
      <c r="V44">
        <v>0</v>
      </c>
    </row>
    <row r="45" spans="1:22" x14ac:dyDescent="0.25">
      <c r="A45" t="s">
        <v>144</v>
      </c>
      <c r="B45" s="15">
        <v>170</v>
      </c>
      <c r="C45" s="15">
        <v>360</v>
      </c>
      <c r="D45" s="15">
        <v>12.7</v>
      </c>
      <c r="E45" s="15">
        <v>8</v>
      </c>
      <c r="F45" s="15">
        <v>18</v>
      </c>
      <c r="G45">
        <v>7.273E-3</v>
      </c>
      <c r="H45">
        <v>0.14956741326098899</v>
      </c>
      <c r="I45">
        <v>3.7869132843638798E-2</v>
      </c>
      <c r="J45">
        <v>1.627E-4</v>
      </c>
      <c r="K45" s="16">
        <v>1.043E-5</v>
      </c>
      <c r="L45">
        <v>9.0359999999999995E-4</v>
      </c>
      <c r="M45">
        <v>1.228E-4</v>
      </c>
      <c r="N45">
        <v>0</v>
      </c>
      <c r="O45" s="16">
        <v>3.7319999999999998E-7</v>
      </c>
      <c r="P45">
        <v>0</v>
      </c>
      <c r="Q45">
        <v>0</v>
      </c>
      <c r="R45">
        <v>1.0218246875E-3</v>
      </c>
      <c r="S45">
        <v>1.9127557812499999E-4</v>
      </c>
      <c r="T45" s="16">
        <v>3.1678012282534501E-7</v>
      </c>
      <c r="U45">
        <v>3.6180000000000001E-3</v>
      </c>
      <c r="V45">
        <v>2.6770000000000001E-3</v>
      </c>
    </row>
    <row r="46" spans="1:22" x14ac:dyDescent="0.25">
      <c r="A46" t="s">
        <v>145</v>
      </c>
      <c r="B46" s="15">
        <v>180</v>
      </c>
      <c r="C46" s="15">
        <v>397</v>
      </c>
      <c r="D46" s="15">
        <v>12</v>
      </c>
      <c r="E46" s="15">
        <v>7</v>
      </c>
      <c r="F46" s="15">
        <v>21</v>
      </c>
      <c r="G46">
        <v>7.3099999999999997E-3</v>
      </c>
      <c r="H46">
        <v>0.16660281494625601</v>
      </c>
      <c r="I46">
        <v>4.0023932648835497E-2</v>
      </c>
      <c r="J46">
        <v>2.029E-4</v>
      </c>
      <c r="K46" s="16">
        <v>1.171E-5</v>
      </c>
      <c r="L46">
        <v>1.0219999999999999E-3</v>
      </c>
      <c r="M46">
        <v>1.3009999999999999E-4</v>
      </c>
      <c r="N46">
        <v>0</v>
      </c>
      <c r="O46" s="16">
        <v>3.4789999999999999E-7</v>
      </c>
      <c r="P46">
        <v>0</v>
      </c>
      <c r="Q46">
        <v>0</v>
      </c>
      <c r="R46">
        <v>1.1460000000000001E-3</v>
      </c>
      <c r="S46">
        <v>2.02E-4</v>
      </c>
      <c r="T46" s="16">
        <v>4.3822721249999997E-7</v>
      </c>
      <c r="U46">
        <v>0</v>
      </c>
      <c r="V46">
        <v>0</v>
      </c>
    </row>
    <row r="47" spans="1:22" x14ac:dyDescent="0.25">
      <c r="A47" t="s">
        <v>146</v>
      </c>
      <c r="B47" s="15">
        <v>182</v>
      </c>
      <c r="C47" s="15">
        <v>404</v>
      </c>
      <c r="D47" s="15">
        <v>15.5</v>
      </c>
      <c r="E47" s="15">
        <v>9.6999999999999993</v>
      </c>
      <c r="F47" s="15">
        <v>21</v>
      </c>
      <c r="G47">
        <v>9.639E-3</v>
      </c>
      <c r="H47">
        <v>0.16658883959416901</v>
      </c>
      <c r="I47">
        <v>4.0281198541109599E-2</v>
      </c>
      <c r="J47">
        <v>2.675E-4</v>
      </c>
      <c r="K47" s="16">
        <v>1.5639999999999999E-5</v>
      </c>
      <c r="L47">
        <v>1.3240000000000001E-3</v>
      </c>
      <c r="M47">
        <v>1.719E-4</v>
      </c>
      <c r="N47">
        <v>0</v>
      </c>
      <c r="O47" s="16">
        <v>7.3099999999999997E-7</v>
      </c>
      <c r="P47">
        <v>0</v>
      </c>
      <c r="Q47">
        <v>0</v>
      </c>
      <c r="R47">
        <v>1.506E-3</v>
      </c>
      <c r="S47">
        <v>2.7E-4</v>
      </c>
      <c r="T47" s="16">
        <v>5.95808960500068E-7</v>
      </c>
      <c r="U47">
        <v>0</v>
      </c>
      <c r="V47">
        <v>0</v>
      </c>
    </row>
    <row r="48" spans="1:22" x14ac:dyDescent="0.25">
      <c r="A48" t="s">
        <v>147</v>
      </c>
      <c r="B48" s="15">
        <v>178</v>
      </c>
      <c r="C48" s="15">
        <v>407</v>
      </c>
      <c r="D48" s="15">
        <v>17</v>
      </c>
      <c r="E48" s="15">
        <v>10.6</v>
      </c>
      <c r="F48" s="15">
        <v>21</v>
      </c>
      <c r="G48">
        <v>1.04E-2</v>
      </c>
      <c r="H48">
        <v>0.16669871486745599</v>
      </c>
      <c r="I48">
        <v>3.9345608688606197E-2</v>
      </c>
      <c r="J48">
        <v>2.8899999999999998E-4</v>
      </c>
      <c r="K48" s="16">
        <v>1.6099999999999998E-5</v>
      </c>
      <c r="L48">
        <v>1.42E-3</v>
      </c>
      <c r="M48">
        <v>1.8000000000000001E-4</v>
      </c>
      <c r="N48">
        <v>0</v>
      </c>
      <c r="O48" s="16">
        <v>9.2399999999999996E-7</v>
      </c>
      <c r="P48">
        <v>0</v>
      </c>
      <c r="Q48">
        <v>0</v>
      </c>
      <c r="R48">
        <v>1.6199999999999999E-3</v>
      </c>
      <c r="S48">
        <v>2.8400000000000002E-4</v>
      </c>
      <c r="T48" s="16">
        <v>6.1605184750416697E-7</v>
      </c>
      <c r="U48">
        <v>0</v>
      </c>
      <c r="V48">
        <v>0</v>
      </c>
    </row>
    <row r="49" spans="1:22" x14ac:dyDescent="0.25">
      <c r="A49" t="s">
        <v>148</v>
      </c>
      <c r="B49" s="15">
        <v>180</v>
      </c>
      <c r="C49" s="15">
        <v>400</v>
      </c>
      <c r="D49" s="15">
        <v>13.5</v>
      </c>
      <c r="E49" s="15">
        <v>8.6</v>
      </c>
      <c r="F49" s="15">
        <v>21</v>
      </c>
      <c r="G49">
        <v>8.4460000000000004E-3</v>
      </c>
      <c r="H49">
        <v>0.16548638835636501</v>
      </c>
      <c r="I49">
        <v>3.9503189906476097E-2</v>
      </c>
      <c r="J49">
        <v>2.3130000000000001E-4</v>
      </c>
      <c r="K49" s="16">
        <v>1.3179999999999999E-5</v>
      </c>
      <c r="L49">
        <v>1.1559999999999999E-3</v>
      </c>
      <c r="M49">
        <v>1.4640000000000001E-4</v>
      </c>
      <c r="N49">
        <v>0</v>
      </c>
      <c r="O49" s="16">
        <v>5.1080000000000005E-7</v>
      </c>
      <c r="P49">
        <v>0</v>
      </c>
      <c r="Q49">
        <v>0</v>
      </c>
      <c r="R49">
        <v>1.3079999999999999E-3</v>
      </c>
      <c r="S49">
        <v>2.3000000000000001E-4</v>
      </c>
      <c r="T49" s="16">
        <v>4.9685469989062503E-7</v>
      </c>
      <c r="U49">
        <v>4.0770000000000008E-3</v>
      </c>
      <c r="V49">
        <v>3.2049999999999995E-3</v>
      </c>
    </row>
    <row r="50" spans="1:22" x14ac:dyDescent="0.25">
      <c r="A50" t="s">
        <v>149</v>
      </c>
      <c r="B50" s="15">
        <v>182</v>
      </c>
      <c r="C50" s="15">
        <v>406</v>
      </c>
      <c r="D50" s="15">
        <v>17.5</v>
      </c>
      <c r="E50" s="15">
        <v>10.6</v>
      </c>
      <c r="F50" s="15">
        <v>21</v>
      </c>
      <c r="G50">
        <v>1.0699999999999999E-2</v>
      </c>
      <c r="H50">
        <v>0.16800089007329899</v>
      </c>
      <c r="I50">
        <v>4.0671926527724701E-2</v>
      </c>
      <c r="J50">
        <v>3.0200000000000002E-4</v>
      </c>
      <c r="K50" s="16">
        <v>1.77E-5</v>
      </c>
      <c r="L50">
        <v>1.48E-3</v>
      </c>
      <c r="M50">
        <v>1.94E-4</v>
      </c>
      <c r="N50">
        <v>0</v>
      </c>
      <c r="O50" s="16">
        <v>9.9099999999999991E-7</v>
      </c>
      <c r="P50">
        <v>0</v>
      </c>
      <c r="Q50">
        <v>0</v>
      </c>
      <c r="R50">
        <v>1.684E-3</v>
      </c>
      <c r="S50">
        <v>3.0400000000000002E-4</v>
      </c>
      <c r="T50" s="16">
        <v>6.7268753604846302E-7</v>
      </c>
      <c r="U50">
        <v>0</v>
      </c>
      <c r="V50">
        <v>0</v>
      </c>
    </row>
    <row r="51" spans="1:22" x14ac:dyDescent="0.25">
      <c r="A51" t="s">
        <v>150</v>
      </c>
      <c r="B51" s="15">
        <v>190</v>
      </c>
      <c r="C51" s="15">
        <v>450</v>
      </c>
      <c r="D51" s="15">
        <v>14.6</v>
      </c>
      <c r="E51" s="15">
        <v>9.4</v>
      </c>
      <c r="F51" s="15">
        <v>21</v>
      </c>
      <c r="G51">
        <v>9.8820000000000002E-3</v>
      </c>
      <c r="H51">
        <v>0.18477793714471</v>
      </c>
      <c r="I51">
        <v>4.1182677825070499E-2</v>
      </c>
      <c r="J51">
        <v>3.3740000000000002E-4</v>
      </c>
      <c r="K51" s="16">
        <v>1.6759999999999999E-5</v>
      </c>
      <c r="L51">
        <v>1.5E-3</v>
      </c>
      <c r="M51">
        <v>1.7640000000000001E-4</v>
      </c>
      <c r="N51">
        <v>0</v>
      </c>
      <c r="O51" s="16">
        <v>6.6870000000000005E-7</v>
      </c>
      <c r="P51">
        <v>0</v>
      </c>
      <c r="Q51">
        <v>0</v>
      </c>
      <c r="R51">
        <v>1.702E-3</v>
      </c>
      <c r="S51">
        <v>2.7599999999999999E-4</v>
      </c>
      <c r="T51" s="16">
        <v>8.0199126959092597E-7</v>
      </c>
      <c r="U51">
        <v>4.6560000000000004E-3</v>
      </c>
      <c r="V51">
        <v>3.9529999999999999E-3</v>
      </c>
    </row>
    <row r="52" spans="1:22" x14ac:dyDescent="0.25">
      <c r="A52" t="s">
        <v>151</v>
      </c>
      <c r="B52" s="15">
        <v>192</v>
      </c>
      <c r="C52" s="15">
        <v>456</v>
      </c>
      <c r="D52" s="15">
        <v>17.600000000000001</v>
      </c>
      <c r="E52" s="15">
        <v>11</v>
      </c>
      <c r="F52" s="15">
        <v>21</v>
      </c>
      <c r="G52">
        <v>1.1769999999999999E-2</v>
      </c>
      <c r="H52">
        <v>0.18645738156529701</v>
      </c>
      <c r="I52">
        <v>4.2088630842772701E-2</v>
      </c>
      <c r="J52">
        <v>4.0920000000000003E-4</v>
      </c>
      <c r="K52" s="16">
        <v>2.0849999999999999E-5</v>
      </c>
      <c r="L52">
        <v>1.7949999999999999E-3</v>
      </c>
      <c r="M52">
        <v>2.1719999999999999E-4</v>
      </c>
      <c r="N52">
        <v>0</v>
      </c>
      <c r="O52" s="16">
        <v>1.0899999999999999E-6</v>
      </c>
      <c r="P52">
        <v>0</v>
      </c>
      <c r="Q52">
        <v>0</v>
      </c>
      <c r="R52">
        <v>2.0400000000000001E-3</v>
      </c>
      <c r="S52">
        <v>3.4200000000000002E-4</v>
      </c>
      <c r="T52" s="16">
        <v>1.01143173370006E-6</v>
      </c>
      <c r="U52">
        <v>0</v>
      </c>
      <c r="V52">
        <v>0</v>
      </c>
    </row>
    <row r="53" spans="1:22" x14ac:dyDescent="0.25">
      <c r="A53" t="s">
        <v>152</v>
      </c>
      <c r="B53" s="15">
        <v>190</v>
      </c>
      <c r="C53" s="15">
        <v>447</v>
      </c>
      <c r="D53" s="15">
        <v>13.1</v>
      </c>
      <c r="E53" s="15">
        <v>7.6</v>
      </c>
      <c r="F53" s="15">
        <v>21</v>
      </c>
      <c r="G53">
        <v>8.5550000000000001E-3</v>
      </c>
      <c r="H53">
        <v>0.18651186144420001</v>
      </c>
      <c r="I53">
        <v>4.1901055141552901E-2</v>
      </c>
      <c r="J53">
        <v>2.9760000000000002E-4</v>
      </c>
      <c r="K53" s="16">
        <v>1.502E-5</v>
      </c>
      <c r="L53">
        <v>1.3309999999999999E-3</v>
      </c>
      <c r="M53">
        <v>1.5809999999999999E-4</v>
      </c>
      <c r="N53">
        <v>0</v>
      </c>
      <c r="O53" s="16">
        <v>4.5670000000000001E-7</v>
      </c>
      <c r="P53">
        <v>0</v>
      </c>
      <c r="Q53">
        <v>0</v>
      </c>
      <c r="R53">
        <v>1.498E-3</v>
      </c>
      <c r="S53">
        <v>2.4600000000000002E-4</v>
      </c>
      <c r="T53" s="16">
        <v>7.1464528485599599E-7</v>
      </c>
      <c r="U53">
        <v>0</v>
      </c>
      <c r="V53">
        <v>0</v>
      </c>
    </row>
    <row r="54" spans="1:22" x14ac:dyDescent="0.25">
      <c r="A54" t="s">
        <v>153</v>
      </c>
      <c r="B54" s="15">
        <v>194</v>
      </c>
      <c r="C54" s="15">
        <v>460</v>
      </c>
      <c r="D54" s="15">
        <v>19.600000000000001</v>
      </c>
      <c r="E54" s="15">
        <v>12.4</v>
      </c>
      <c r="F54" s="15">
        <v>21</v>
      </c>
      <c r="G54">
        <v>1.32E-2</v>
      </c>
      <c r="H54">
        <v>0.18728523053289001</v>
      </c>
      <c r="I54">
        <v>4.2640143271122102E-2</v>
      </c>
      <c r="J54">
        <v>4.6299999999999998E-4</v>
      </c>
      <c r="K54" s="16">
        <v>2.4000000000000001E-5</v>
      </c>
      <c r="L54">
        <v>2.0100000000000001E-3</v>
      </c>
      <c r="M54">
        <v>2.4699999999999999E-4</v>
      </c>
      <c r="N54">
        <v>0</v>
      </c>
      <c r="O54" s="16">
        <v>1.5E-6</v>
      </c>
      <c r="P54">
        <v>0</v>
      </c>
      <c r="Q54">
        <v>0</v>
      </c>
      <c r="R54">
        <v>2.3E-3</v>
      </c>
      <c r="S54">
        <v>3.8999999999999999E-4</v>
      </c>
      <c r="T54" s="16">
        <v>1.17255982877436E-6</v>
      </c>
      <c r="U54">
        <v>0</v>
      </c>
      <c r="V54">
        <v>0</v>
      </c>
    </row>
    <row r="55" spans="1:22" x14ac:dyDescent="0.25">
      <c r="A55" t="s">
        <v>154</v>
      </c>
      <c r="B55" s="15">
        <v>188</v>
      </c>
      <c r="C55" s="15">
        <v>458</v>
      </c>
      <c r="D55" s="15">
        <v>18.600000000000001</v>
      </c>
      <c r="E55" s="15">
        <v>11.3</v>
      </c>
      <c r="F55" s="15">
        <v>21</v>
      </c>
      <c r="G55">
        <v>1.21E-2</v>
      </c>
      <c r="H55">
        <v>0.18741389207352999</v>
      </c>
      <c r="I55">
        <v>4.1361138785735697E-2</v>
      </c>
      <c r="J55">
        <v>4.2499999999999998E-4</v>
      </c>
      <c r="K55" s="16">
        <v>2.0699999999999998E-5</v>
      </c>
      <c r="L55">
        <v>1.8500000000000001E-3</v>
      </c>
      <c r="M55">
        <v>2.2000000000000001E-4</v>
      </c>
      <c r="N55">
        <v>0</v>
      </c>
      <c r="O55" s="16">
        <v>1.22E-6</v>
      </c>
      <c r="P55">
        <v>0</v>
      </c>
      <c r="Q55">
        <v>0</v>
      </c>
      <c r="R55">
        <v>2.1199999999999999E-3</v>
      </c>
      <c r="S55">
        <v>3.4600000000000001E-4</v>
      </c>
      <c r="T55" s="16">
        <v>1.00805847989852E-6</v>
      </c>
      <c r="U55">
        <v>0</v>
      </c>
      <c r="V55">
        <v>0</v>
      </c>
    </row>
    <row r="56" spans="1:22" x14ac:dyDescent="0.25">
      <c r="A56" t="s">
        <v>155</v>
      </c>
      <c r="B56" s="15">
        <v>200</v>
      </c>
      <c r="C56" s="15">
        <v>497</v>
      </c>
      <c r="D56" s="15">
        <v>14.5</v>
      </c>
      <c r="E56" s="15">
        <v>8.4</v>
      </c>
      <c r="F56" s="15">
        <v>21</v>
      </c>
      <c r="G56">
        <v>1.0109999999999999E-2</v>
      </c>
      <c r="H56">
        <v>0.20606530035857401</v>
      </c>
      <c r="I56">
        <v>4.3793870190598799E-2</v>
      </c>
      <c r="J56">
        <v>4.2930000000000003E-4</v>
      </c>
      <c r="K56" s="16">
        <v>1.9389999999999999E-5</v>
      </c>
      <c r="L56">
        <v>1.7279999999999999E-3</v>
      </c>
      <c r="M56">
        <v>1.939E-4</v>
      </c>
      <c r="N56">
        <v>0</v>
      </c>
      <c r="O56" s="16">
        <v>6.2780000000000005E-7</v>
      </c>
      <c r="P56">
        <v>0</v>
      </c>
      <c r="Q56">
        <v>0</v>
      </c>
      <c r="R56">
        <v>1.9499999999999999E-3</v>
      </c>
      <c r="S56">
        <v>3.0200000000000002E-4</v>
      </c>
      <c r="T56" s="16">
        <v>1.1408584056713E-6</v>
      </c>
      <c r="U56">
        <v>0</v>
      </c>
      <c r="V56">
        <v>0</v>
      </c>
    </row>
    <row r="57" spans="1:22" x14ac:dyDescent="0.25">
      <c r="A57" t="s">
        <v>156</v>
      </c>
      <c r="B57" s="15">
        <v>200</v>
      </c>
      <c r="C57" s="15">
        <v>500</v>
      </c>
      <c r="D57" s="15">
        <v>16</v>
      </c>
      <c r="E57" s="15">
        <v>10.199999999999999</v>
      </c>
      <c r="F57" s="15">
        <v>21</v>
      </c>
      <c r="G57">
        <v>1.155E-2</v>
      </c>
      <c r="H57">
        <v>0.204283141085117</v>
      </c>
      <c r="I57">
        <v>4.3064433753916401E-2</v>
      </c>
      <c r="J57">
        <v>4.8200000000000001E-4</v>
      </c>
      <c r="K57" s="16">
        <v>2.1420000000000002E-5</v>
      </c>
      <c r="L57">
        <v>1.928E-3</v>
      </c>
      <c r="M57">
        <v>2.142E-4</v>
      </c>
      <c r="N57">
        <v>0</v>
      </c>
      <c r="O57" s="16">
        <v>8.9289999999999996E-7</v>
      </c>
      <c r="P57">
        <v>0</v>
      </c>
      <c r="Q57">
        <v>0</v>
      </c>
      <c r="R57">
        <v>2.2000000000000001E-3</v>
      </c>
      <c r="S57">
        <v>3.3599999999999998E-4</v>
      </c>
      <c r="T57" s="16">
        <v>1.2667176296296301E-6</v>
      </c>
      <c r="U57">
        <v>5.3749999999999996E-3</v>
      </c>
      <c r="V57">
        <v>4.7800000000000004E-3</v>
      </c>
    </row>
    <row r="58" spans="1:22" x14ac:dyDescent="0.25">
      <c r="A58" t="s">
        <v>157</v>
      </c>
      <c r="B58" s="15">
        <v>198</v>
      </c>
      <c r="C58" s="15">
        <v>508</v>
      </c>
      <c r="D58" s="15">
        <v>20</v>
      </c>
      <c r="E58" s="15">
        <v>12.6</v>
      </c>
      <c r="F58" s="15">
        <v>21</v>
      </c>
      <c r="G58">
        <v>1.4200000000000001E-2</v>
      </c>
      <c r="H58">
        <v>0.205556612948259</v>
      </c>
      <c r="I58">
        <v>4.2790021213981198E-2</v>
      </c>
      <c r="J58">
        <v>5.9999999999999995E-4</v>
      </c>
      <c r="K58" s="16">
        <v>2.5999999999999998E-5</v>
      </c>
      <c r="L58">
        <v>2.3600000000000001E-3</v>
      </c>
      <c r="M58">
        <v>2.63E-4</v>
      </c>
      <c r="N58">
        <v>0</v>
      </c>
      <c r="O58" s="16">
        <v>1.6300000000000001E-6</v>
      </c>
      <c r="P58">
        <v>0</v>
      </c>
      <c r="Q58">
        <v>0</v>
      </c>
      <c r="R58">
        <v>2.7200000000000002E-3</v>
      </c>
      <c r="S58">
        <v>4.1599999999999997E-4</v>
      </c>
      <c r="T58" s="16">
        <v>1.56186801936E-6</v>
      </c>
      <c r="U58">
        <v>0</v>
      </c>
      <c r="V58">
        <v>0</v>
      </c>
    </row>
    <row r="59" spans="1:22" x14ac:dyDescent="0.25">
      <c r="A59" t="s">
        <v>158</v>
      </c>
      <c r="B59" s="15">
        <v>204</v>
      </c>
      <c r="C59" s="15">
        <v>514</v>
      </c>
      <c r="D59" s="15">
        <v>23</v>
      </c>
      <c r="E59" s="15">
        <v>14.2</v>
      </c>
      <c r="F59" s="15">
        <v>21</v>
      </c>
      <c r="G59">
        <v>1.6400000000000001E-2</v>
      </c>
      <c r="H59">
        <v>0.20777567640924</v>
      </c>
      <c r="I59">
        <v>4.4653134705464899E-2</v>
      </c>
      <c r="J59">
        <v>7.0799999999999997E-4</v>
      </c>
      <c r="K59" s="16">
        <v>3.2700000000000002E-5</v>
      </c>
      <c r="L59">
        <v>2.7499999999999998E-3</v>
      </c>
      <c r="M59">
        <v>3.21E-4</v>
      </c>
      <c r="N59">
        <v>0</v>
      </c>
      <c r="O59" s="16">
        <v>2.43E-6</v>
      </c>
      <c r="P59">
        <v>0</v>
      </c>
      <c r="Q59">
        <v>0</v>
      </c>
      <c r="R59">
        <v>3.1800000000000001E-3</v>
      </c>
      <c r="S59">
        <v>5.0600000000000005E-4</v>
      </c>
      <c r="T59" s="16">
        <v>1.9886595700869998E-6</v>
      </c>
      <c r="U59">
        <v>0</v>
      </c>
      <c r="V59">
        <v>0</v>
      </c>
    </row>
    <row r="60" spans="1:22" x14ac:dyDescent="0.25">
      <c r="A60" t="s">
        <v>159</v>
      </c>
      <c r="B60" s="15">
        <v>202</v>
      </c>
      <c r="C60" s="15">
        <v>506</v>
      </c>
      <c r="D60" s="15">
        <v>19</v>
      </c>
      <c r="E60" s="15">
        <v>12</v>
      </c>
      <c r="F60" s="15">
        <v>21</v>
      </c>
      <c r="G60">
        <v>1.367E-2</v>
      </c>
      <c r="H60">
        <v>0.20559119527770001</v>
      </c>
      <c r="I60">
        <v>4.3795761937842403E-2</v>
      </c>
      <c r="J60">
        <v>5.7779999999999995E-4</v>
      </c>
      <c r="K60" s="16">
        <v>2.622E-5</v>
      </c>
      <c r="L60">
        <v>2.284E-3</v>
      </c>
      <c r="M60">
        <v>2.5960000000000002E-4</v>
      </c>
      <c r="N60">
        <v>0</v>
      </c>
      <c r="O60" s="16">
        <v>1.435E-6</v>
      </c>
      <c r="P60">
        <v>0</v>
      </c>
      <c r="Q60">
        <v>0</v>
      </c>
      <c r="R60">
        <v>2.6199999999999999E-3</v>
      </c>
      <c r="S60">
        <v>4.08E-4</v>
      </c>
      <c r="T60" s="16">
        <v>1.569078796594E-6</v>
      </c>
      <c r="U60">
        <v>0</v>
      </c>
      <c r="V60">
        <v>0</v>
      </c>
    </row>
    <row r="61" spans="1:22" x14ac:dyDescent="0.25">
      <c r="A61" t="s">
        <v>160</v>
      </c>
      <c r="B61" s="15">
        <v>210</v>
      </c>
      <c r="C61" s="15">
        <v>547</v>
      </c>
      <c r="D61" s="15">
        <v>15.7</v>
      </c>
      <c r="E61" s="15">
        <v>9</v>
      </c>
      <c r="F61" s="15">
        <v>24</v>
      </c>
      <c r="G61">
        <v>1.1730000000000001E-2</v>
      </c>
      <c r="H61">
        <v>0.22612793910148499</v>
      </c>
      <c r="I61">
        <v>4.5533682950481297E-2</v>
      </c>
      <c r="J61">
        <v>5.9980000000000005E-4</v>
      </c>
      <c r="K61" s="16">
        <v>2.4320000000000001E-5</v>
      </c>
      <c r="L61">
        <v>2.1930000000000001E-3</v>
      </c>
      <c r="M61">
        <v>2.3159999999999999E-4</v>
      </c>
      <c r="N61">
        <v>0</v>
      </c>
      <c r="O61" s="16">
        <v>8.653E-7</v>
      </c>
      <c r="P61">
        <v>0</v>
      </c>
      <c r="Q61">
        <v>0</v>
      </c>
      <c r="R61">
        <v>2.48E-3</v>
      </c>
      <c r="S61">
        <v>3.6200000000000002E-4</v>
      </c>
      <c r="T61" s="16">
        <v>1.74431973157646E-6</v>
      </c>
      <c r="U61">
        <v>0</v>
      </c>
      <c r="V61">
        <v>0</v>
      </c>
    </row>
    <row r="62" spans="1:22" x14ac:dyDescent="0.25">
      <c r="A62" t="s">
        <v>161</v>
      </c>
      <c r="B62" s="15">
        <v>210</v>
      </c>
      <c r="C62" s="15">
        <v>550</v>
      </c>
      <c r="D62" s="15">
        <v>17.2</v>
      </c>
      <c r="E62" s="15">
        <v>11.1</v>
      </c>
      <c r="F62" s="15">
        <v>24</v>
      </c>
      <c r="G62">
        <v>1.3440000000000001E-2</v>
      </c>
      <c r="H62">
        <v>0.22347365882912501</v>
      </c>
      <c r="I62">
        <v>4.4554674812179298E-2</v>
      </c>
      <c r="J62">
        <v>6.7120000000000005E-4</v>
      </c>
      <c r="K62" s="16">
        <v>2.6679999999999999E-5</v>
      </c>
      <c r="L62">
        <v>2.441E-3</v>
      </c>
      <c r="M62">
        <v>2.541E-4</v>
      </c>
      <c r="N62">
        <v>0</v>
      </c>
      <c r="O62" s="16">
        <v>1.232E-6</v>
      </c>
      <c r="P62">
        <v>0</v>
      </c>
      <c r="Q62">
        <v>0</v>
      </c>
      <c r="R62">
        <v>2.7799999999999999E-3</v>
      </c>
      <c r="S62">
        <v>4.0000000000000002E-4</v>
      </c>
      <c r="T62" s="16">
        <v>1.9217801864899699E-6</v>
      </c>
      <c r="U62">
        <v>6.0699999999999999E-3</v>
      </c>
      <c r="V62">
        <v>5.7299999999999999E-3</v>
      </c>
    </row>
    <row r="63" spans="1:22" x14ac:dyDescent="0.25">
      <c r="A63" t="s">
        <v>162</v>
      </c>
      <c r="B63" s="15">
        <v>210</v>
      </c>
      <c r="C63" s="15">
        <v>560</v>
      </c>
      <c r="D63" s="15">
        <v>22.2</v>
      </c>
      <c r="E63" s="15">
        <v>14</v>
      </c>
      <c r="F63" s="15">
        <v>24</v>
      </c>
      <c r="G63">
        <v>1.7100000000000001E-2</v>
      </c>
      <c r="H63">
        <v>0.22517050070105701</v>
      </c>
      <c r="I63">
        <v>4.4917077594709101E-2</v>
      </c>
      <c r="J63">
        <v>8.6700000000000004E-4</v>
      </c>
      <c r="K63" s="16">
        <v>3.4499999999999998E-5</v>
      </c>
      <c r="L63">
        <v>3.0999999999999999E-3</v>
      </c>
      <c r="M63">
        <v>3.28E-4</v>
      </c>
      <c r="N63">
        <v>0</v>
      </c>
      <c r="O63" s="16">
        <v>2.43E-6</v>
      </c>
      <c r="P63">
        <v>0</v>
      </c>
      <c r="Q63">
        <v>0</v>
      </c>
      <c r="R63">
        <v>3.5599999999999998E-3</v>
      </c>
      <c r="S63">
        <v>5.22E-4</v>
      </c>
      <c r="T63" s="16">
        <v>2.52721038869232E-6</v>
      </c>
      <c r="U63">
        <v>0</v>
      </c>
      <c r="V63">
        <v>0</v>
      </c>
    </row>
    <row r="64" spans="1:22" x14ac:dyDescent="0.25">
      <c r="A64" t="s">
        <v>163</v>
      </c>
      <c r="B64" s="15">
        <v>216</v>
      </c>
      <c r="C64" s="15">
        <v>566</v>
      </c>
      <c r="D64" s="15">
        <v>25.2</v>
      </c>
      <c r="E64" s="15">
        <v>17.100000000000001</v>
      </c>
      <c r="F64" s="15">
        <v>24</v>
      </c>
      <c r="G64">
        <v>2.0199999999999999E-2</v>
      </c>
      <c r="H64">
        <v>0.22471103556556901</v>
      </c>
      <c r="I64">
        <v>4.59767483206307E-2</v>
      </c>
      <c r="J64">
        <v>1.0200000000000001E-3</v>
      </c>
      <c r="K64" s="16">
        <v>4.2700000000000001E-5</v>
      </c>
      <c r="L64">
        <v>3.62E-3</v>
      </c>
      <c r="M64">
        <v>3.9500000000000001E-4</v>
      </c>
      <c r="N64">
        <v>0</v>
      </c>
      <c r="O64" s="16">
        <v>3.8E-6</v>
      </c>
      <c r="P64">
        <v>0</v>
      </c>
      <c r="Q64">
        <v>0</v>
      </c>
      <c r="R64">
        <v>4.2199999999999998E-3</v>
      </c>
      <c r="S64">
        <v>6.3199999999999997E-4</v>
      </c>
      <c r="T64" s="16">
        <v>3.1566330703507101E-6</v>
      </c>
      <c r="U64">
        <v>0</v>
      </c>
      <c r="V64">
        <v>0</v>
      </c>
    </row>
    <row r="65" spans="1:22" x14ac:dyDescent="0.25">
      <c r="A65" t="s">
        <v>164</v>
      </c>
      <c r="B65" s="15">
        <v>212</v>
      </c>
      <c r="C65" s="15">
        <v>556</v>
      </c>
      <c r="D65" s="15">
        <v>20.2</v>
      </c>
      <c r="E65" s="15">
        <v>12.7</v>
      </c>
      <c r="F65" s="15">
        <v>24</v>
      </c>
      <c r="G65">
        <v>1.5610000000000001E-2</v>
      </c>
      <c r="H65">
        <v>0.225191213503844</v>
      </c>
      <c r="I65">
        <v>4.5446041951085897E-2</v>
      </c>
      <c r="J65">
        <v>7.9160000000000005E-4</v>
      </c>
      <c r="K65" s="16">
        <v>3.2240000000000003E-5</v>
      </c>
      <c r="L65">
        <v>2.8470000000000001E-3</v>
      </c>
      <c r="M65">
        <v>3.0420000000000002E-4</v>
      </c>
      <c r="N65">
        <v>0</v>
      </c>
      <c r="O65" s="16">
        <v>1.875E-6</v>
      </c>
      <c r="P65">
        <v>0</v>
      </c>
      <c r="Q65">
        <v>0</v>
      </c>
      <c r="R65">
        <v>3.2599999999999999E-3</v>
      </c>
      <c r="S65">
        <v>4.8000000000000001E-4</v>
      </c>
      <c r="T65" s="16">
        <v>2.3482985827255102E-6</v>
      </c>
      <c r="U65">
        <v>0</v>
      </c>
      <c r="V65">
        <v>0</v>
      </c>
    </row>
    <row r="66" spans="1:22" x14ac:dyDescent="0.25">
      <c r="A66" t="s">
        <v>165</v>
      </c>
      <c r="B66" s="15">
        <v>220</v>
      </c>
      <c r="C66" s="15">
        <v>600</v>
      </c>
      <c r="D66" s="15">
        <v>19</v>
      </c>
      <c r="E66" s="15">
        <v>12</v>
      </c>
      <c r="F66" s="15">
        <v>24</v>
      </c>
      <c r="G66">
        <v>1.5599999999999999E-2</v>
      </c>
      <c r="H66">
        <v>0.24295193151247199</v>
      </c>
      <c r="I66">
        <v>4.6595641922328401E-2</v>
      </c>
      <c r="J66">
        <v>9.2080000000000005E-4</v>
      </c>
      <c r="K66" s="16">
        <v>3.3869999999999999E-5</v>
      </c>
      <c r="L66">
        <v>3.0690000000000001E-3</v>
      </c>
      <c r="M66">
        <v>3.079E-4</v>
      </c>
      <c r="N66">
        <v>0</v>
      </c>
      <c r="O66" s="16">
        <v>1.654E-6</v>
      </c>
      <c r="P66">
        <v>0</v>
      </c>
      <c r="Q66">
        <v>0</v>
      </c>
      <c r="R66">
        <v>3.5200000000000001E-3</v>
      </c>
      <c r="S66">
        <v>4.86E-4</v>
      </c>
      <c r="T66" s="16">
        <v>2.9024372438599998E-6</v>
      </c>
      <c r="U66">
        <v>7.025E-3</v>
      </c>
      <c r="V66">
        <v>6.765000000000001E-3</v>
      </c>
    </row>
    <row r="67" spans="1:22" x14ac:dyDescent="0.25">
      <c r="A67" t="s">
        <v>166</v>
      </c>
      <c r="B67" s="15">
        <v>224</v>
      </c>
      <c r="C67" s="15">
        <v>610</v>
      </c>
      <c r="D67" s="15">
        <v>24</v>
      </c>
      <c r="E67" s="15">
        <v>15</v>
      </c>
      <c r="F67" s="15">
        <v>24</v>
      </c>
      <c r="G67">
        <v>1.968E-2</v>
      </c>
      <c r="H67">
        <v>0.245177062283401</v>
      </c>
      <c r="I67">
        <v>4.7929699535475698E-2</v>
      </c>
      <c r="J67">
        <v>1.183000064E-3</v>
      </c>
      <c r="K67" s="16">
        <v>4.5210000000000003E-5</v>
      </c>
      <c r="L67">
        <v>3.8790000000000001E-3</v>
      </c>
      <c r="M67">
        <v>4.036E-4</v>
      </c>
      <c r="N67">
        <v>0</v>
      </c>
      <c r="O67" s="16">
        <v>3.1810000000000001E-6</v>
      </c>
      <c r="P67">
        <v>0</v>
      </c>
      <c r="Q67">
        <v>0</v>
      </c>
      <c r="R67">
        <v>4.4799999999999996E-3</v>
      </c>
      <c r="S67">
        <v>6.4000000000000005E-4</v>
      </c>
      <c r="T67" s="16">
        <v>3.9367647087820804E-6</v>
      </c>
      <c r="U67">
        <v>0</v>
      </c>
      <c r="V67">
        <v>0</v>
      </c>
    </row>
    <row r="68" spans="1:22" x14ac:dyDescent="0.25">
      <c r="A68" t="s">
        <v>167</v>
      </c>
      <c r="B68" s="15">
        <v>218</v>
      </c>
      <c r="C68" s="15">
        <v>608</v>
      </c>
      <c r="D68" s="15">
        <v>23</v>
      </c>
      <c r="E68" s="15">
        <v>14</v>
      </c>
      <c r="F68" s="15">
        <v>24</v>
      </c>
      <c r="G68">
        <v>1.84E-2</v>
      </c>
      <c r="H68">
        <v>0.24450482346091301</v>
      </c>
      <c r="I68">
        <v>4.6566922389927899E-2</v>
      </c>
      <c r="J68">
        <v>1.1000000000000001E-3</v>
      </c>
      <c r="K68" s="16">
        <v>3.9900000000000001E-5</v>
      </c>
      <c r="L68">
        <v>3.63E-3</v>
      </c>
      <c r="M68">
        <v>3.6600000000000001E-4</v>
      </c>
      <c r="N68">
        <v>0</v>
      </c>
      <c r="O68" s="16">
        <v>2.7099999999999999E-6</v>
      </c>
      <c r="P68">
        <v>0</v>
      </c>
      <c r="Q68">
        <v>0</v>
      </c>
      <c r="R68">
        <v>4.1799999999999997E-3</v>
      </c>
      <c r="S68">
        <v>5.8E-4</v>
      </c>
      <c r="T68" s="16">
        <v>3.4657559622855001E-6</v>
      </c>
      <c r="U68">
        <v>0</v>
      </c>
      <c r="V68">
        <v>0</v>
      </c>
    </row>
    <row r="69" spans="1:22" x14ac:dyDescent="0.25">
      <c r="A69" t="s">
        <v>168</v>
      </c>
      <c r="B69" s="15">
        <v>228</v>
      </c>
      <c r="C69" s="15">
        <v>618</v>
      </c>
      <c r="D69" s="15">
        <v>28</v>
      </c>
      <c r="E69" s="15">
        <v>18</v>
      </c>
      <c r="F69" s="15">
        <v>24</v>
      </c>
      <c r="G69">
        <v>2.3400000000000001E-2</v>
      </c>
      <c r="H69">
        <v>0.24634074101488099</v>
      </c>
      <c r="I69">
        <v>4.8788747476665999E-2</v>
      </c>
      <c r="J69">
        <v>1.42E-3</v>
      </c>
      <c r="K69" s="16">
        <v>5.5699999999999999E-5</v>
      </c>
      <c r="L69">
        <v>4.5900000000000003E-3</v>
      </c>
      <c r="M69">
        <v>4.8899999999999996E-4</v>
      </c>
      <c r="N69">
        <v>0</v>
      </c>
      <c r="O69" s="16">
        <v>5.1200000000000001E-6</v>
      </c>
      <c r="P69">
        <v>0</v>
      </c>
      <c r="Q69">
        <v>0</v>
      </c>
      <c r="R69">
        <v>5.3200000000000001E-3</v>
      </c>
      <c r="S69">
        <v>7.7999999999999999E-4</v>
      </c>
      <c r="T69" s="16">
        <v>4.9097064401279996E-6</v>
      </c>
      <c r="U69">
        <v>0</v>
      </c>
      <c r="V69">
        <v>0</v>
      </c>
    </row>
    <row r="70" spans="1:22" x14ac:dyDescent="0.25">
      <c r="A70" t="s">
        <v>169</v>
      </c>
      <c r="B70" s="15">
        <v>220</v>
      </c>
      <c r="C70" s="15">
        <v>597</v>
      </c>
      <c r="D70" s="15">
        <v>17.5</v>
      </c>
      <c r="E70" s="15">
        <v>9.8000000000000007</v>
      </c>
      <c r="F70" s="15">
        <v>24</v>
      </c>
      <c r="G70">
        <v>1.37E-2</v>
      </c>
      <c r="H70">
        <v>0.24601940461121199</v>
      </c>
      <c r="I70">
        <v>4.7691220939964703E-2</v>
      </c>
      <c r="J70">
        <v>8.2919999999999999E-4</v>
      </c>
      <c r="K70" s="16">
        <v>3.116E-5</v>
      </c>
      <c r="L70">
        <v>2.7780000000000001E-3</v>
      </c>
      <c r="M70">
        <v>2.833E-4</v>
      </c>
      <c r="N70">
        <v>0</v>
      </c>
      <c r="O70" s="16">
        <v>1.1880000000000001E-6</v>
      </c>
      <c r="P70">
        <v>0</v>
      </c>
      <c r="Q70">
        <v>0</v>
      </c>
      <c r="R70">
        <v>3.14E-3</v>
      </c>
      <c r="S70">
        <v>4.4200000000000001E-4</v>
      </c>
      <c r="T70" s="16">
        <v>2.6595116788625001E-6</v>
      </c>
      <c r="U70">
        <v>0</v>
      </c>
      <c r="V70">
        <v>0</v>
      </c>
    </row>
    <row r="71" spans="1:22" x14ac:dyDescent="0.25">
      <c r="A71" t="s">
        <v>170</v>
      </c>
      <c r="B71" s="15">
        <v>263</v>
      </c>
      <c r="C71" s="15">
        <v>753</v>
      </c>
      <c r="D71" s="15">
        <v>17</v>
      </c>
      <c r="E71" s="15">
        <v>11.5</v>
      </c>
      <c r="F71" s="15">
        <v>17</v>
      </c>
      <c r="G71">
        <v>1.746E-2</v>
      </c>
      <c r="H71">
        <v>0.30262313143457298</v>
      </c>
      <c r="I71">
        <v>5.4394511548482002E-2</v>
      </c>
      <c r="J71">
        <v>1.5990000639999999E-3</v>
      </c>
      <c r="K71" s="16">
        <v>5.1659999999999997E-5</v>
      </c>
      <c r="L71">
        <v>4.2459999999999998E-3</v>
      </c>
      <c r="M71">
        <v>3.9280000000000001E-4</v>
      </c>
      <c r="N71">
        <v>0</v>
      </c>
      <c r="O71" s="16">
        <v>1.3710000000000001E-6</v>
      </c>
      <c r="P71">
        <v>0</v>
      </c>
      <c r="Q71">
        <v>0</v>
      </c>
      <c r="R71">
        <v>4.8651620000000001E-3</v>
      </c>
      <c r="S71">
        <v>6.1407693750000002E-4</v>
      </c>
      <c r="T71" s="16">
        <v>7.1196841185459203E-6</v>
      </c>
      <c r="U71">
        <v>0</v>
      </c>
      <c r="V71">
        <v>0</v>
      </c>
    </row>
    <row r="72" spans="1:22" x14ac:dyDescent="0.25">
      <c r="A72" t="s">
        <v>171</v>
      </c>
      <c r="B72" s="15">
        <v>265</v>
      </c>
      <c r="C72" s="15">
        <v>753</v>
      </c>
      <c r="D72" s="15">
        <v>17</v>
      </c>
      <c r="E72" s="15">
        <v>13.2</v>
      </c>
      <c r="F72" s="15">
        <v>17</v>
      </c>
      <c r="G72">
        <v>1.8749999999999999E-2</v>
      </c>
      <c r="H72">
        <v>0.29763511764127099</v>
      </c>
      <c r="I72">
        <v>5.3111204091038998E-2</v>
      </c>
      <c r="J72">
        <v>1.660999936E-3</v>
      </c>
      <c r="K72" s="16">
        <v>5.2889999999999997E-5</v>
      </c>
      <c r="L72">
        <v>4.411E-3</v>
      </c>
      <c r="M72">
        <v>3.992E-4</v>
      </c>
      <c r="N72">
        <v>0</v>
      </c>
      <c r="O72" s="16">
        <v>1.615E-6</v>
      </c>
      <c r="P72">
        <v>0</v>
      </c>
      <c r="Q72">
        <v>0</v>
      </c>
      <c r="R72">
        <v>5.1098945E-3</v>
      </c>
      <c r="S72">
        <v>6.3081149999999996E-4</v>
      </c>
      <c r="T72" s="16">
        <v>7.2833486838399999E-6</v>
      </c>
      <c r="U72">
        <v>0</v>
      </c>
      <c r="V72">
        <v>0</v>
      </c>
    </row>
    <row r="73" spans="1:22" x14ac:dyDescent="0.25">
      <c r="A73" t="s">
        <v>172</v>
      </c>
      <c r="B73" s="15">
        <v>267</v>
      </c>
      <c r="C73" s="15">
        <v>762</v>
      </c>
      <c r="D73" s="15">
        <v>21.6</v>
      </c>
      <c r="E73" s="15">
        <v>14.4</v>
      </c>
      <c r="F73" s="15">
        <v>17</v>
      </c>
      <c r="G73">
        <v>2.213E-2</v>
      </c>
      <c r="H73">
        <v>0.30495234565823298</v>
      </c>
      <c r="I73">
        <v>5.5729155888877099E-2</v>
      </c>
      <c r="J73">
        <v>2.0579999999999999E-3</v>
      </c>
      <c r="K73" s="16">
        <v>6.8730000000000001E-5</v>
      </c>
      <c r="L73">
        <v>5.4019999999999997E-3</v>
      </c>
      <c r="M73">
        <v>5.1489999999999999E-4</v>
      </c>
      <c r="N73">
        <v>0</v>
      </c>
      <c r="O73" s="16">
        <v>2.7360000000000001E-6</v>
      </c>
      <c r="P73">
        <v>0</v>
      </c>
      <c r="Q73">
        <v>0</v>
      </c>
      <c r="R73">
        <v>6.2182775000000001E-3</v>
      </c>
      <c r="S73">
        <v>8.0991199999999998E-4</v>
      </c>
      <c r="T73" s="16">
        <v>9.5787600159002207E-6</v>
      </c>
      <c r="U73">
        <v>0</v>
      </c>
      <c r="V73">
        <v>0</v>
      </c>
    </row>
    <row r="74" spans="1:22" x14ac:dyDescent="0.25">
      <c r="A74" t="s">
        <v>173</v>
      </c>
      <c r="B74" s="15">
        <v>268</v>
      </c>
      <c r="C74" s="15">
        <v>770</v>
      </c>
      <c r="D74" s="15">
        <v>25.4</v>
      </c>
      <c r="E74" s="15">
        <v>15.6</v>
      </c>
      <c r="F74" s="15">
        <v>17</v>
      </c>
      <c r="G74">
        <v>2.5080000000000002E-2</v>
      </c>
      <c r="H74">
        <v>0.30953739625612398</v>
      </c>
      <c r="I74">
        <v>5.7092638562168702E-2</v>
      </c>
      <c r="J74">
        <v>2.4030000639999999E-3</v>
      </c>
      <c r="K74" s="16">
        <v>8.1749999999999995E-5</v>
      </c>
      <c r="L74">
        <v>6.241E-3</v>
      </c>
      <c r="M74">
        <v>6.1010000000000003E-4</v>
      </c>
      <c r="N74">
        <v>0</v>
      </c>
      <c r="O74" s="16">
        <v>4.0890000000000002E-6</v>
      </c>
      <c r="P74">
        <v>0</v>
      </c>
      <c r="Q74">
        <v>0</v>
      </c>
      <c r="R74">
        <v>6.7106865000000002E-3</v>
      </c>
      <c r="S74">
        <v>9.5881546823089504E-4</v>
      </c>
      <c r="T74" s="16">
        <v>1.1520546639185101E-5</v>
      </c>
      <c r="U74">
        <v>0</v>
      </c>
      <c r="V74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6521-506F-4A30-A828-220CE93D1C03}">
  <dimension ref="A1:O38"/>
  <sheetViews>
    <sheetView workbookViewId="0">
      <selection activeCell="O4" sqref="O4"/>
    </sheetView>
  </sheetViews>
  <sheetFormatPr defaultRowHeight="15" x14ac:dyDescent="0.25"/>
  <cols>
    <col min="1" max="16384" width="9.140625" style="11"/>
  </cols>
  <sheetData>
    <row r="1" spans="1:15" x14ac:dyDescent="0.25">
      <c r="A1" s="11" t="s">
        <v>75</v>
      </c>
      <c r="B1" s="11" t="s">
        <v>174</v>
      </c>
      <c r="C1" s="11" t="s">
        <v>175</v>
      </c>
      <c r="D1" s="11" t="s">
        <v>176</v>
      </c>
      <c r="E1" s="11" t="s">
        <v>177</v>
      </c>
      <c r="F1" s="11" t="s">
        <v>178</v>
      </c>
      <c r="G1" s="11" t="s">
        <v>179</v>
      </c>
      <c r="H1" s="11" t="s">
        <v>180</v>
      </c>
      <c r="I1" s="11" t="s">
        <v>181</v>
      </c>
      <c r="J1" s="11" t="s">
        <v>182</v>
      </c>
      <c r="K1" s="11" t="s">
        <v>183</v>
      </c>
      <c r="L1" s="11" t="s">
        <v>184</v>
      </c>
      <c r="M1" s="11" t="s">
        <v>185</v>
      </c>
      <c r="N1" s="11" t="s">
        <v>186</v>
      </c>
      <c r="O1" s="11" t="s">
        <v>187</v>
      </c>
    </row>
    <row r="2" spans="1:15" x14ac:dyDescent="0.25">
      <c r="A2" s="11" t="s">
        <v>97</v>
      </c>
      <c r="B2" s="11" t="s">
        <v>29</v>
      </c>
      <c r="C2" s="11" t="s">
        <v>29</v>
      </c>
      <c r="D2" s="11" t="s">
        <v>188</v>
      </c>
      <c r="E2" s="11" t="s">
        <v>189</v>
      </c>
      <c r="F2" s="11" t="s">
        <v>190</v>
      </c>
      <c r="G2" s="11" t="s">
        <v>188</v>
      </c>
      <c r="H2" s="11" t="s">
        <v>191</v>
      </c>
      <c r="I2" s="11" t="s">
        <v>29</v>
      </c>
      <c r="J2" s="11" t="s">
        <v>29</v>
      </c>
      <c r="K2" s="11" t="s">
        <v>29</v>
      </c>
      <c r="L2" s="11" t="s">
        <v>29</v>
      </c>
      <c r="M2" s="11" t="s">
        <v>188</v>
      </c>
      <c r="N2" s="11" t="s">
        <v>188</v>
      </c>
      <c r="O2" s="11" t="s">
        <v>188</v>
      </c>
    </row>
    <row r="3" spans="1:15" x14ac:dyDescent="0.25">
      <c r="A3" s="11" t="s">
        <v>102</v>
      </c>
      <c r="B3" s="11">
        <v>1000000</v>
      </c>
      <c r="C3" s="11">
        <v>1000000</v>
      </c>
      <c r="D3" s="11">
        <v>1</v>
      </c>
      <c r="E3" s="11">
        <v>1</v>
      </c>
      <c r="F3" s="11">
        <v>1</v>
      </c>
      <c r="G3" s="11">
        <v>1</v>
      </c>
      <c r="H3" s="14">
        <v>9.9999999999999995E-7</v>
      </c>
      <c r="I3" s="11">
        <v>1000000</v>
      </c>
      <c r="J3" s="11">
        <v>1000000</v>
      </c>
      <c r="K3" s="11">
        <v>1000000</v>
      </c>
      <c r="L3" s="11">
        <v>1000000</v>
      </c>
      <c r="M3" s="11">
        <v>1</v>
      </c>
      <c r="N3" s="11">
        <v>1</v>
      </c>
      <c r="O3" s="11">
        <v>1</v>
      </c>
    </row>
    <row r="4" spans="1:15" x14ac:dyDescent="0.25">
      <c r="A4" s="11" t="s">
        <v>192</v>
      </c>
      <c r="B4" s="11">
        <v>210000</v>
      </c>
      <c r="C4" s="11">
        <v>80769</v>
      </c>
      <c r="D4" s="11">
        <v>0.3</v>
      </c>
      <c r="E4" s="11">
        <v>7850</v>
      </c>
      <c r="F4" s="11">
        <v>490</v>
      </c>
      <c r="G4" s="14">
        <v>1.2E-5</v>
      </c>
      <c r="H4" s="11">
        <v>50200000</v>
      </c>
      <c r="I4" s="11">
        <v>360</v>
      </c>
      <c r="J4" s="11">
        <v>360</v>
      </c>
      <c r="K4" s="11">
        <v>235</v>
      </c>
      <c r="L4" s="11">
        <v>215</v>
      </c>
      <c r="M4" s="11">
        <v>1.25</v>
      </c>
      <c r="N4" s="11">
        <v>1.25</v>
      </c>
      <c r="O4" s="11">
        <v>0.8</v>
      </c>
    </row>
    <row r="5" spans="1:15" x14ac:dyDescent="0.25">
      <c r="A5" s="11" t="s">
        <v>193</v>
      </c>
      <c r="B5" s="11">
        <v>210000</v>
      </c>
      <c r="C5" s="11">
        <v>80769</v>
      </c>
      <c r="D5" s="11">
        <v>0.3</v>
      </c>
      <c r="E5" s="11">
        <v>7850</v>
      </c>
      <c r="F5" s="11">
        <v>490</v>
      </c>
      <c r="G5" s="14">
        <v>1.2E-5</v>
      </c>
      <c r="H5" s="11">
        <v>50200000</v>
      </c>
      <c r="I5" s="11">
        <v>430</v>
      </c>
      <c r="J5" s="11">
        <v>410</v>
      </c>
      <c r="K5" s="11">
        <v>275</v>
      </c>
      <c r="L5" s="11">
        <v>255</v>
      </c>
      <c r="M5" s="11">
        <v>1.25</v>
      </c>
      <c r="N5" s="11">
        <v>1.25</v>
      </c>
      <c r="O5" s="11">
        <v>0.85</v>
      </c>
    </row>
    <row r="6" spans="1:15" x14ac:dyDescent="0.25">
      <c r="A6" s="11" t="s">
        <v>194</v>
      </c>
      <c r="B6" s="11">
        <v>210000</v>
      </c>
      <c r="C6" s="11">
        <v>80769</v>
      </c>
      <c r="D6" s="11">
        <v>0.3</v>
      </c>
      <c r="E6" s="11">
        <v>7850</v>
      </c>
      <c r="F6" s="11">
        <v>490</v>
      </c>
      <c r="G6" s="14">
        <v>1.2E-5</v>
      </c>
      <c r="H6" s="11">
        <v>50200000</v>
      </c>
      <c r="I6" s="11">
        <v>490</v>
      </c>
      <c r="J6" s="11">
        <v>470</v>
      </c>
      <c r="K6" s="11">
        <v>355</v>
      </c>
      <c r="L6" s="11">
        <v>335</v>
      </c>
      <c r="M6" s="11">
        <v>1.25</v>
      </c>
      <c r="N6" s="11">
        <v>1.25</v>
      </c>
      <c r="O6" s="11">
        <v>0.9</v>
      </c>
    </row>
    <row r="7" spans="1:15" x14ac:dyDescent="0.25">
      <c r="A7" s="11" t="s">
        <v>195</v>
      </c>
      <c r="B7" s="11">
        <v>210000</v>
      </c>
      <c r="C7" s="11">
        <v>80769</v>
      </c>
      <c r="D7" s="11">
        <v>0.3</v>
      </c>
      <c r="E7" s="11">
        <v>7850</v>
      </c>
      <c r="F7" s="11">
        <v>490</v>
      </c>
      <c r="G7" s="14">
        <v>1.2E-5</v>
      </c>
      <c r="H7" s="11">
        <v>50200000</v>
      </c>
      <c r="I7" s="11">
        <v>550</v>
      </c>
      <c r="J7" s="11">
        <v>550</v>
      </c>
      <c r="K7" s="11">
        <v>440</v>
      </c>
      <c r="L7" s="11">
        <v>410</v>
      </c>
      <c r="M7" s="11">
        <v>1.25</v>
      </c>
      <c r="N7" s="11">
        <v>1.25</v>
      </c>
      <c r="O7" s="11">
        <v>1</v>
      </c>
    </row>
    <row r="8" spans="1:15" x14ac:dyDescent="0.25">
      <c r="A8" s="11" t="s">
        <v>196</v>
      </c>
      <c r="B8" s="11">
        <v>210000</v>
      </c>
      <c r="C8" s="11">
        <v>80769</v>
      </c>
      <c r="D8" s="11">
        <v>0.3</v>
      </c>
      <c r="E8" s="11">
        <v>7850</v>
      </c>
      <c r="F8" s="11">
        <v>490</v>
      </c>
      <c r="G8" s="14">
        <v>1.2E-5</v>
      </c>
      <c r="H8" s="11">
        <v>50200000</v>
      </c>
      <c r="I8" s="11">
        <v>390</v>
      </c>
      <c r="J8" s="11">
        <v>370</v>
      </c>
      <c r="K8" s="11">
        <v>275</v>
      </c>
      <c r="L8" s="11">
        <v>255</v>
      </c>
      <c r="M8" s="11">
        <v>1.25</v>
      </c>
      <c r="N8" s="11">
        <v>1.25</v>
      </c>
      <c r="O8" s="11">
        <v>0.85</v>
      </c>
    </row>
    <row r="9" spans="1:15" x14ac:dyDescent="0.25">
      <c r="A9" s="11" t="s">
        <v>197</v>
      </c>
      <c r="B9" s="11">
        <v>210000</v>
      </c>
      <c r="C9" s="11">
        <v>80769</v>
      </c>
      <c r="D9" s="11">
        <v>0.3</v>
      </c>
      <c r="E9" s="11">
        <v>7850</v>
      </c>
      <c r="F9" s="11">
        <v>490</v>
      </c>
      <c r="G9" s="14">
        <v>1.2E-5</v>
      </c>
      <c r="H9" s="11">
        <v>50200000</v>
      </c>
      <c r="I9" s="11">
        <v>490</v>
      </c>
      <c r="J9" s="11">
        <v>470</v>
      </c>
      <c r="K9" s="11">
        <v>355</v>
      </c>
      <c r="L9" s="11">
        <v>335</v>
      </c>
      <c r="M9" s="11">
        <v>1.25</v>
      </c>
      <c r="N9" s="11">
        <v>1.25</v>
      </c>
      <c r="O9" s="11">
        <v>0.9</v>
      </c>
    </row>
    <row r="10" spans="1:15" x14ac:dyDescent="0.25">
      <c r="A10" s="11" t="s">
        <v>198</v>
      </c>
      <c r="B10" s="11">
        <v>210000</v>
      </c>
      <c r="C10" s="11">
        <v>80769</v>
      </c>
      <c r="D10" s="11">
        <v>0.3</v>
      </c>
      <c r="E10" s="11">
        <v>7850</v>
      </c>
      <c r="F10" s="11">
        <v>490</v>
      </c>
      <c r="G10" s="14">
        <v>1.2E-5</v>
      </c>
      <c r="H10" s="11">
        <v>50200000</v>
      </c>
      <c r="I10" s="11">
        <v>520</v>
      </c>
      <c r="J10" s="11">
        <v>520</v>
      </c>
      <c r="K10" s="11">
        <v>420</v>
      </c>
      <c r="L10" s="11">
        <v>390</v>
      </c>
      <c r="M10" s="11">
        <v>1.25</v>
      </c>
      <c r="N10" s="11">
        <v>1.25</v>
      </c>
      <c r="O10" s="11">
        <v>1</v>
      </c>
    </row>
    <row r="11" spans="1:15" x14ac:dyDescent="0.25">
      <c r="A11" s="11" t="s">
        <v>199</v>
      </c>
      <c r="B11" s="11">
        <v>210000</v>
      </c>
      <c r="C11" s="11">
        <v>80769</v>
      </c>
      <c r="D11" s="11">
        <v>0.3</v>
      </c>
      <c r="E11" s="11">
        <v>7850</v>
      </c>
      <c r="F11" s="11">
        <v>490</v>
      </c>
      <c r="G11" s="14">
        <v>1.2E-5</v>
      </c>
      <c r="H11" s="11">
        <v>50200000</v>
      </c>
      <c r="I11" s="11">
        <v>540</v>
      </c>
      <c r="J11" s="11">
        <v>540</v>
      </c>
      <c r="K11" s="11">
        <v>460</v>
      </c>
      <c r="L11" s="11">
        <v>430</v>
      </c>
      <c r="M11" s="11">
        <v>1.25</v>
      </c>
      <c r="N11" s="11">
        <v>1.25</v>
      </c>
      <c r="O11" s="11">
        <v>1</v>
      </c>
    </row>
    <row r="12" spans="1:15" x14ac:dyDescent="0.25">
      <c r="A12" s="11" t="s">
        <v>200</v>
      </c>
      <c r="B12" s="11">
        <v>210000</v>
      </c>
      <c r="C12" s="11">
        <v>80769</v>
      </c>
      <c r="D12" s="11">
        <v>0.3</v>
      </c>
      <c r="E12" s="11">
        <v>7850</v>
      </c>
      <c r="F12" s="11">
        <v>490</v>
      </c>
      <c r="G12" s="14">
        <v>1.2E-5</v>
      </c>
      <c r="H12" s="11">
        <v>50200000</v>
      </c>
      <c r="I12" s="11">
        <v>370</v>
      </c>
      <c r="J12" s="11">
        <v>360</v>
      </c>
      <c r="K12" s="11">
        <v>275</v>
      </c>
      <c r="L12" s="11">
        <v>255</v>
      </c>
      <c r="M12" s="11">
        <v>1.25</v>
      </c>
      <c r="N12" s="11">
        <v>1.25</v>
      </c>
      <c r="O12" s="11">
        <v>0.85</v>
      </c>
    </row>
    <row r="13" spans="1:15" x14ac:dyDescent="0.25">
      <c r="A13" s="11" t="s">
        <v>201</v>
      </c>
      <c r="B13" s="11">
        <v>210000</v>
      </c>
      <c r="C13" s="11">
        <v>80769</v>
      </c>
      <c r="D13" s="11">
        <v>0.3</v>
      </c>
      <c r="E13" s="11">
        <v>7850</v>
      </c>
      <c r="F13" s="11">
        <v>490</v>
      </c>
      <c r="G13" s="14">
        <v>1.2E-5</v>
      </c>
      <c r="H13" s="11">
        <v>50200000</v>
      </c>
      <c r="I13" s="11">
        <v>470</v>
      </c>
      <c r="J13" s="11">
        <v>450</v>
      </c>
      <c r="K13" s="11">
        <v>355</v>
      </c>
      <c r="L13" s="11">
        <v>335</v>
      </c>
      <c r="M13" s="11">
        <v>1.25</v>
      </c>
      <c r="N13" s="11">
        <v>1.25</v>
      </c>
      <c r="O13" s="11">
        <v>0.9</v>
      </c>
    </row>
    <row r="14" spans="1:15" x14ac:dyDescent="0.25">
      <c r="A14" s="11" t="s">
        <v>202</v>
      </c>
      <c r="B14" s="11">
        <v>210000</v>
      </c>
      <c r="C14" s="11">
        <v>80769</v>
      </c>
      <c r="D14" s="11">
        <v>0.3</v>
      </c>
      <c r="E14" s="11">
        <v>7850</v>
      </c>
      <c r="F14" s="11">
        <v>490</v>
      </c>
      <c r="G14" s="14">
        <v>1.2E-5</v>
      </c>
      <c r="H14" s="11">
        <v>50200000</v>
      </c>
      <c r="I14" s="11">
        <v>520</v>
      </c>
      <c r="J14" s="11">
        <v>500</v>
      </c>
      <c r="K14" s="11">
        <v>420</v>
      </c>
      <c r="L14" s="11">
        <v>390</v>
      </c>
      <c r="M14" s="11">
        <v>1.25</v>
      </c>
      <c r="N14" s="11">
        <v>1.25</v>
      </c>
      <c r="O14" s="11">
        <v>1</v>
      </c>
    </row>
    <row r="15" spans="1:15" x14ac:dyDescent="0.25">
      <c r="A15" s="11" t="s">
        <v>203</v>
      </c>
      <c r="B15" s="11">
        <v>210000</v>
      </c>
      <c r="C15" s="11">
        <v>80769</v>
      </c>
      <c r="D15" s="11">
        <v>0.3</v>
      </c>
      <c r="E15" s="11">
        <v>7850</v>
      </c>
      <c r="F15" s="11">
        <v>490</v>
      </c>
      <c r="G15" s="14">
        <v>1.2E-5</v>
      </c>
      <c r="H15" s="11">
        <v>50200000</v>
      </c>
      <c r="I15" s="11">
        <v>540</v>
      </c>
      <c r="J15" s="11">
        <v>530</v>
      </c>
      <c r="K15" s="11">
        <v>460</v>
      </c>
      <c r="L15" s="11">
        <v>430</v>
      </c>
      <c r="M15" s="11">
        <v>1.25</v>
      </c>
      <c r="N15" s="11">
        <v>1.25</v>
      </c>
      <c r="O15" s="11">
        <v>1</v>
      </c>
    </row>
    <row r="16" spans="1:15" x14ac:dyDescent="0.25">
      <c r="A16" s="11" t="s">
        <v>204</v>
      </c>
      <c r="B16" s="11">
        <v>210000</v>
      </c>
      <c r="C16" s="11">
        <v>80769</v>
      </c>
      <c r="D16" s="11">
        <v>0.3</v>
      </c>
      <c r="E16" s="11">
        <v>7850</v>
      </c>
      <c r="F16" s="11">
        <v>490</v>
      </c>
      <c r="G16" s="14">
        <v>1.2E-5</v>
      </c>
      <c r="H16" s="11">
        <v>50200000</v>
      </c>
      <c r="I16" s="11">
        <v>360</v>
      </c>
      <c r="J16" s="11">
        <v>340</v>
      </c>
      <c r="K16" s="11">
        <v>235</v>
      </c>
      <c r="L16" s="11">
        <v>215</v>
      </c>
      <c r="M16" s="11">
        <v>1.25</v>
      </c>
      <c r="N16" s="11">
        <v>1.25</v>
      </c>
      <c r="O16" s="11">
        <v>0.8</v>
      </c>
    </row>
    <row r="17" spans="1:15" x14ac:dyDescent="0.25">
      <c r="A17" s="11" t="s">
        <v>205</v>
      </c>
      <c r="B17" s="11">
        <v>210000</v>
      </c>
      <c r="C17" s="11">
        <v>80769</v>
      </c>
      <c r="D17" s="11">
        <v>0.3</v>
      </c>
      <c r="E17" s="11">
        <v>7850</v>
      </c>
      <c r="F17" s="11">
        <v>490</v>
      </c>
      <c r="G17" s="14">
        <v>1.2E-5</v>
      </c>
      <c r="H17" s="11">
        <v>50200000</v>
      </c>
      <c r="I17" s="11">
        <v>490</v>
      </c>
      <c r="J17" s="11">
        <v>490</v>
      </c>
      <c r="K17" s="11">
        <v>355</v>
      </c>
      <c r="L17" s="11">
        <v>335</v>
      </c>
      <c r="M17" s="11">
        <v>1.25</v>
      </c>
      <c r="N17" s="11">
        <v>1.25</v>
      </c>
      <c r="O17" s="11">
        <v>0.9</v>
      </c>
    </row>
    <row r="18" spans="1:15" x14ac:dyDescent="0.25">
      <c r="A18" s="11" t="s">
        <v>206</v>
      </c>
      <c r="B18" s="11">
        <v>210000</v>
      </c>
      <c r="C18" s="11">
        <v>80769</v>
      </c>
      <c r="D18" s="11">
        <v>0.3</v>
      </c>
      <c r="E18" s="11">
        <v>7850</v>
      </c>
      <c r="F18" s="11">
        <v>490</v>
      </c>
      <c r="G18" s="14">
        <v>1.2E-5</v>
      </c>
      <c r="H18" s="11">
        <v>50200000</v>
      </c>
      <c r="I18" s="11">
        <v>360</v>
      </c>
      <c r="J18" s="11">
        <v>340</v>
      </c>
      <c r="K18" s="11">
        <v>235</v>
      </c>
      <c r="L18" s="11">
        <v>215</v>
      </c>
      <c r="M18" s="11">
        <v>1.25</v>
      </c>
      <c r="N18" s="11">
        <v>1.25</v>
      </c>
      <c r="O18" s="11">
        <v>0.8</v>
      </c>
    </row>
    <row r="19" spans="1:15" x14ac:dyDescent="0.25">
      <c r="A19" s="11" t="s">
        <v>207</v>
      </c>
      <c r="B19" s="11">
        <v>210000</v>
      </c>
      <c r="C19" s="11">
        <v>80769</v>
      </c>
      <c r="D19" s="11">
        <v>0.3</v>
      </c>
      <c r="E19" s="11">
        <v>7850</v>
      </c>
      <c r="F19" s="11">
        <v>490</v>
      </c>
      <c r="G19" s="14">
        <v>1.2E-5</v>
      </c>
      <c r="H19" s="11">
        <v>50200000</v>
      </c>
      <c r="I19" s="11">
        <v>430</v>
      </c>
      <c r="J19" s="11">
        <v>410</v>
      </c>
      <c r="K19" s="11">
        <v>275</v>
      </c>
      <c r="L19" s="11">
        <v>255</v>
      </c>
      <c r="M19" s="11">
        <v>1.25</v>
      </c>
      <c r="N19" s="11">
        <v>1.25</v>
      </c>
      <c r="O19" s="11">
        <v>0.85</v>
      </c>
    </row>
    <row r="20" spans="1:15" x14ac:dyDescent="0.25">
      <c r="A20" s="11" t="s">
        <v>208</v>
      </c>
      <c r="B20" s="11">
        <v>210000</v>
      </c>
      <c r="C20" s="11">
        <v>80769</v>
      </c>
      <c r="D20" s="11">
        <v>0.3</v>
      </c>
      <c r="E20" s="11">
        <v>7850</v>
      </c>
      <c r="F20" s="11">
        <v>490</v>
      </c>
      <c r="G20" s="14">
        <v>1.2E-5</v>
      </c>
      <c r="H20" s="11">
        <v>50200000</v>
      </c>
      <c r="I20" s="11">
        <v>510</v>
      </c>
      <c r="J20" s="11">
        <v>490</v>
      </c>
      <c r="K20" s="11">
        <v>355</v>
      </c>
      <c r="L20" s="11">
        <v>335</v>
      </c>
      <c r="M20" s="11">
        <v>1.25</v>
      </c>
      <c r="N20" s="11">
        <v>1.25</v>
      </c>
      <c r="O20" s="11">
        <v>0.9</v>
      </c>
    </row>
    <row r="21" spans="1:15" x14ac:dyDescent="0.25">
      <c r="A21" s="11" t="s">
        <v>209</v>
      </c>
      <c r="B21" s="11">
        <v>210000</v>
      </c>
      <c r="C21" s="11">
        <v>80769</v>
      </c>
      <c r="D21" s="11">
        <v>0.3</v>
      </c>
      <c r="E21" s="11">
        <v>7850</v>
      </c>
      <c r="F21" s="11">
        <v>490</v>
      </c>
      <c r="G21" s="14">
        <v>1.2E-5</v>
      </c>
      <c r="H21" s="11">
        <v>50200000</v>
      </c>
      <c r="I21" s="11">
        <v>370</v>
      </c>
      <c r="J21" s="11">
        <v>370</v>
      </c>
      <c r="K21" s="11">
        <v>275</v>
      </c>
      <c r="L21" s="11">
        <v>255</v>
      </c>
      <c r="M21" s="11">
        <v>1.25</v>
      </c>
      <c r="N21" s="11">
        <v>1.25</v>
      </c>
      <c r="O21" s="11">
        <v>0.85</v>
      </c>
    </row>
    <row r="22" spans="1:15" x14ac:dyDescent="0.25">
      <c r="A22" s="11" t="s">
        <v>210</v>
      </c>
      <c r="B22" s="11">
        <v>210000</v>
      </c>
      <c r="C22" s="11">
        <v>80769</v>
      </c>
      <c r="D22" s="11">
        <v>0.3</v>
      </c>
      <c r="E22" s="11">
        <v>7850</v>
      </c>
      <c r="F22" s="11">
        <v>490</v>
      </c>
      <c r="G22" s="14">
        <v>1.2E-5</v>
      </c>
      <c r="H22" s="11">
        <v>50200000</v>
      </c>
      <c r="I22" s="11">
        <v>470</v>
      </c>
      <c r="J22" s="11">
        <v>470</v>
      </c>
      <c r="K22" s="11">
        <v>355</v>
      </c>
      <c r="L22" s="11">
        <v>335</v>
      </c>
      <c r="M22" s="11">
        <v>1.25</v>
      </c>
      <c r="N22" s="11">
        <v>1.25</v>
      </c>
      <c r="O22" s="11">
        <v>0.9</v>
      </c>
    </row>
    <row r="23" spans="1:15" x14ac:dyDescent="0.25">
      <c r="A23" s="11" t="s">
        <v>211</v>
      </c>
      <c r="B23" s="11">
        <v>210000</v>
      </c>
      <c r="C23" s="11">
        <v>80769</v>
      </c>
      <c r="D23" s="11">
        <v>0.3</v>
      </c>
      <c r="E23" s="11">
        <v>7850</v>
      </c>
      <c r="F23" s="11">
        <v>490</v>
      </c>
      <c r="G23" s="14">
        <v>1.2E-5</v>
      </c>
      <c r="H23" s="11">
        <v>50200000</v>
      </c>
      <c r="I23" s="11">
        <v>540</v>
      </c>
      <c r="J23" s="11">
        <v>520</v>
      </c>
      <c r="K23" s="11">
        <v>420</v>
      </c>
      <c r="L23" s="11">
        <v>390</v>
      </c>
      <c r="M23" s="11">
        <v>1.25</v>
      </c>
      <c r="N23" s="11">
        <v>1.25</v>
      </c>
      <c r="O23" s="11">
        <v>1</v>
      </c>
    </row>
    <row r="24" spans="1:15" x14ac:dyDescent="0.25">
      <c r="A24" s="11" t="s">
        <v>212</v>
      </c>
      <c r="B24" s="11">
        <v>210000</v>
      </c>
      <c r="C24" s="11">
        <v>80769</v>
      </c>
      <c r="D24" s="11">
        <v>0.3</v>
      </c>
      <c r="E24" s="11">
        <v>7850</v>
      </c>
      <c r="F24" s="11">
        <v>490</v>
      </c>
      <c r="G24" s="14">
        <v>1.2E-5</v>
      </c>
      <c r="H24" s="11">
        <v>50200000</v>
      </c>
      <c r="I24" s="11">
        <v>550</v>
      </c>
      <c r="J24" s="11">
        <v>550</v>
      </c>
      <c r="K24" s="11">
        <v>460</v>
      </c>
      <c r="L24" s="11">
        <v>430</v>
      </c>
      <c r="M24" s="11">
        <v>1.25</v>
      </c>
      <c r="N24" s="11">
        <v>1.25</v>
      </c>
      <c r="O24" s="11">
        <v>1</v>
      </c>
    </row>
    <row r="25" spans="1:15" x14ac:dyDescent="0.25">
      <c r="A25" s="11" t="s">
        <v>213</v>
      </c>
      <c r="B25" s="11">
        <v>210000</v>
      </c>
      <c r="C25" s="11">
        <v>80769</v>
      </c>
      <c r="D25" s="11">
        <v>0.3</v>
      </c>
      <c r="E25" s="11">
        <v>7850</v>
      </c>
      <c r="F25" s="11">
        <v>490</v>
      </c>
      <c r="G25" s="14">
        <v>1.2E-5</v>
      </c>
      <c r="H25" s="11">
        <v>50200000</v>
      </c>
      <c r="I25" s="11">
        <v>360</v>
      </c>
      <c r="J25" s="11">
        <v>360</v>
      </c>
      <c r="K25" s="11">
        <v>275</v>
      </c>
      <c r="L25" s="11">
        <v>275</v>
      </c>
      <c r="M25" s="11">
        <v>1.25</v>
      </c>
      <c r="N25" s="11">
        <v>1.25</v>
      </c>
      <c r="O25" s="11">
        <v>0.85</v>
      </c>
    </row>
    <row r="26" spans="1:15" x14ac:dyDescent="0.25">
      <c r="A26" s="11" t="s">
        <v>214</v>
      </c>
      <c r="B26" s="11">
        <v>210000</v>
      </c>
      <c r="C26" s="11">
        <v>80769</v>
      </c>
      <c r="D26" s="11">
        <v>0.3</v>
      </c>
      <c r="E26" s="11">
        <v>7850</v>
      </c>
      <c r="F26" s="11">
        <v>490</v>
      </c>
      <c r="G26" s="14">
        <v>1.2E-5</v>
      </c>
      <c r="H26" s="11">
        <v>50200000</v>
      </c>
      <c r="I26" s="11">
        <v>470</v>
      </c>
      <c r="J26" s="11">
        <v>470</v>
      </c>
      <c r="K26" s="11">
        <v>355</v>
      </c>
      <c r="L26" s="11">
        <v>355</v>
      </c>
      <c r="M26" s="11">
        <v>1.25</v>
      </c>
      <c r="N26" s="11">
        <v>1.25</v>
      </c>
      <c r="O26" s="11">
        <v>0.9</v>
      </c>
    </row>
    <row r="27" spans="1:15" x14ac:dyDescent="0.25">
      <c r="A27" s="11" t="s">
        <v>215</v>
      </c>
      <c r="B27" s="11">
        <v>210000</v>
      </c>
      <c r="C27" s="11">
        <v>80769</v>
      </c>
      <c r="D27" s="11">
        <v>0.3</v>
      </c>
      <c r="E27" s="11">
        <v>7850</v>
      </c>
      <c r="F27" s="11">
        <v>490</v>
      </c>
      <c r="G27" s="14">
        <v>1.2E-5</v>
      </c>
      <c r="H27" s="11">
        <v>50200000</v>
      </c>
      <c r="I27" s="11">
        <v>500</v>
      </c>
      <c r="J27" s="11">
        <v>500</v>
      </c>
      <c r="K27" s="11">
        <v>420</v>
      </c>
      <c r="L27" s="11">
        <v>420</v>
      </c>
      <c r="M27" s="11">
        <v>1.25</v>
      </c>
      <c r="N27" s="11">
        <v>1.25</v>
      </c>
      <c r="O27" s="11">
        <v>1</v>
      </c>
    </row>
    <row r="28" spans="1:15" x14ac:dyDescent="0.25">
      <c r="A28" s="11" t="s">
        <v>216</v>
      </c>
      <c r="B28" s="11">
        <v>210000</v>
      </c>
      <c r="C28" s="11">
        <v>80769</v>
      </c>
      <c r="D28" s="11">
        <v>0.3</v>
      </c>
      <c r="E28" s="11">
        <v>7850</v>
      </c>
      <c r="F28" s="11">
        <v>490</v>
      </c>
      <c r="G28" s="14">
        <v>1.2E-5</v>
      </c>
      <c r="H28" s="11">
        <v>50200000</v>
      </c>
      <c r="I28" s="11">
        <v>530</v>
      </c>
      <c r="J28" s="11">
        <v>530</v>
      </c>
      <c r="K28" s="11">
        <v>460</v>
      </c>
      <c r="L28" s="11">
        <v>460</v>
      </c>
      <c r="M28" s="11">
        <v>1.25</v>
      </c>
      <c r="N28" s="11">
        <v>1.25</v>
      </c>
      <c r="O28" s="11">
        <v>1</v>
      </c>
    </row>
    <row r="29" spans="1:15" x14ac:dyDescent="0.25">
      <c r="A29" s="11" t="s">
        <v>217</v>
      </c>
      <c r="B29" s="11">
        <v>210000</v>
      </c>
      <c r="C29" s="11">
        <v>80769</v>
      </c>
      <c r="D29" s="11">
        <v>0.3</v>
      </c>
      <c r="E29" s="11">
        <v>7850</v>
      </c>
      <c r="F29" s="11">
        <v>490</v>
      </c>
      <c r="G29" s="14">
        <v>1.2E-5</v>
      </c>
      <c r="H29" s="11">
        <v>50200000</v>
      </c>
      <c r="I29" s="11">
        <v>570</v>
      </c>
      <c r="J29" s="11">
        <v>550</v>
      </c>
      <c r="K29" s="11">
        <v>460</v>
      </c>
      <c r="L29" s="11">
        <v>440</v>
      </c>
      <c r="M29" s="11">
        <v>1.25</v>
      </c>
      <c r="N29" s="11">
        <v>1.25</v>
      </c>
      <c r="O29" s="11">
        <v>1</v>
      </c>
    </row>
    <row r="30" spans="1:15" x14ac:dyDescent="0.25">
      <c r="G30" s="14"/>
    </row>
    <row r="31" spans="1:15" x14ac:dyDescent="0.25">
      <c r="G31" s="14"/>
    </row>
    <row r="32" spans="1:15" x14ac:dyDescent="0.25">
      <c r="G32" s="14"/>
    </row>
    <row r="33" spans="7:7" x14ac:dyDescent="0.25">
      <c r="G33" s="14"/>
    </row>
    <row r="34" spans="7:7" x14ac:dyDescent="0.25">
      <c r="G34" s="14"/>
    </row>
    <row r="35" spans="7:7" x14ac:dyDescent="0.25">
      <c r="G35" s="14"/>
    </row>
    <row r="36" spans="7:7" x14ac:dyDescent="0.25">
      <c r="G36" s="14"/>
    </row>
    <row r="37" spans="7:7" x14ac:dyDescent="0.25">
      <c r="G37" s="14"/>
    </row>
    <row r="38" spans="7:7" x14ac:dyDescent="0.25">
      <c r="G3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Kroucení</vt:lpstr>
      <vt:lpstr>Kroucení - vetknutí</vt:lpstr>
      <vt:lpstr>Prosté</vt:lpstr>
      <vt:lpstr>IPE</vt:lpstr>
      <vt:lpstr>Steel grades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2025-02-18T06:53:23Z</dcterms:modified>
</cp:coreProperties>
</file>