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23.bin" ContentType="application/vnd.openxmlformats-officedocument.oleObject"/>
  <Override PartName="/xl/embeddings/oleObject34.bin" ContentType="application/vnd.openxmlformats-officedocument.oleObject"/>
  <Override PartName="/xl/embeddings/oleObject43.bin" ContentType="application/vnd.openxmlformats-officedocument.oleObject"/>
  <Override PartName="/xl/embeddings/oleObject52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21.bin" ContentType="application/vnd.openxmlformats-officedocument.oleObject"/>
  <Override PartName="/xl/embeddings/oleObject32.bin" ContentType="application/vnd.openxmlformats-officedocument.oleObject"/>
  <Override PartName="/xl/embeddings/oleObject41.bin" ContentType="application/vnd.openxmlformats-officedocument.oleObject"/>
  <Override PartName="/xl/embeddings/oleObject50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embeddings/oleObject2.bin" ContentType="application/vnd.openxmlformats-officedocument.oleObject"/>
  <Override PartName="/xl/worksheets/sheet1.xml" ContentType="application/vnd.openxmlformats-officedocument.spreadsheetml.worksheet+xml"/>
  <Default Extension="vml" ContentType="application/vnd.openxmlformats-officedocument.vmlDrawing"/>
  <Override PartName="/xl/embeddings/oleObject39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8.bin" ContentType="application/vnd.openxmlformats-officedocument.oleObject"/>
  <Override PartName="/xl/embeddings/oleObject59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56.bin" ContentType="application/vnd.openxmlformats-officedocument.oleObject"/>
  <Override PartName="/xl/embeddings/oleObject57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54.bin" ContentType="application/vnd.openxmlformats-officedocument.oleObject"/>
  <Override PartName="/xl/embeddings/oleObject55.bin" ContentType="application/vnd.openxmlformats-officedocument.oleObject"/>
  <Override PartName="/docProps/core.xml" ContentType="application/vnd.openxmlformats-package.core-properties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embeddings/oleObject33.bin" ContentType="application/vnd.openxmlformats-officedocument.oleObject"/>
  <Override PartName="/xl/embeddings/oleObject42.bin" ContentType="application/vnd.openxmlformats-officedocument.oleObject"/>
  <Override PartName="/xl/embeddings/oleObject53.bin" ContentType="application/vnd.openxmlformats-officedocument.oleObject"/>
  <Override PartName="/xl/embeddings/oleObject5.bin" ContentType="application/vnd.openxmlformats-officedocument.oleObject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embeddings/oleObject40.bin" ContentType="application/vnd.openxmlformats-officedocument.oleObject"/>
  <Override PartName="/xl/embeddings/oleObject51.bin" ContentType="application/vnd.openxmlformats-officedocument.oleObject"/>
  <Override PartName="/xl/embeddings/oleObject3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Default Extension="jpeg" ContentType="image/jpeg"/>
  <Default Extension="emf" ContentType="image/x-emf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23955" windowHeight="9690"/>
  </bookViews>
  <sheets>
    <sheet name="Ztráty předpětí PPD" sheetId="1" r:id="rId1"/>
    <sheet name="Hodnoty" sheetId="2" state="hidden" r:id="rId2"/>
  </sheets>
  <definedNames>
    <definedName name="_xlnm.Print_Area" localSheetId="0">'Ztráty předpětí PPD'!$A$6:$L$744</definedName>
    <definedName name="Z_292F2AC6_798D_463B_8F80_590EE4A0FC51_.wvu.PrintArea" localSheetId="0" hidden="1">'Ztráty předpětí PPD'!$A$6:$L$744</definedName>
  </definedNames>
  <calcPr calcId="125725"/>
  <customWorkbookViews>
    <customWorkbookView name="Franta Girgle - Personal View" guid="{292F2AC6-798D-463B-8F80-590EE4A0FC51}" mergeInterval="0" personalView="1" maximized="1" xWindow="1" yWindow="1" windowWidth="1596" windowHeight="680" activeSheetId="1" showComments="commIndAndComment"/>
  </customWorkbookViews>
</workbook>
</file>

<file path=xl/calcChain.xml><?xml version="1.0" encoding="utf-8"?>
<calcChain xmlns="http://schemas.openxmlformats.org/spreadsheetml/2006/main">
  <c r="G114" i="1"/>
  <c r="I114"/>
  <c r="G113"/>
  <c r="I113"/>
  <c r="G115"/>
  <c r="G112"/>
  <c r="I112"/>
  <c r="G461"/>
  <c r="G390"/>
  <c r="G389"/>
  <c r="G696"/>
  <c r="G705"/>
  <c r="G729"/>
  <c r="G726" s="1"/>
  <c r="G730"/>
  <c r="G728"/>
  <c r="G731" s="1"/>
  <c r="G733" s="1"/>
  <c r="G670"/>
  <c r="G725"/>
  <c r="G664"/>
  <c r="G708"/>
  <c r="G676"/>
  <c r="G697"/>
  <c r="G588"/>
  <c r="G587"/>
  <c r="G646"/>
  <c r="G637"/>
  <c r="O637" s="1"/>
  <c r="I631"/>
  <c r="G633"/>
  <c r="I633" s="1"/>
  <c r="G634"/>
  <c r="I634" s="1"/>
  <c r="G632"/>
  <c r="I632" s="1"/>
  <c r="G556"/>
  <c r="G555"/>
  <c r="G540"/>
  <c r="G539"/>
  <c r="G506"/>
  <c r="G501"/>
  <c r="G494"/>
  <c r="G493"/>
  <c r="G470"/>
  <c r="G465"/>
  <c r="G315"/>
  <c r="G471"/>
  <c r="G469"/>
  <c r="G464"/>
  <c r="G102"/>
  <c r="G473"/>
  <c r="G456"/>
  <c r="G455"/>
  <c r="G349"/>
  <c r="G348"/>
  <c r="G270"/>
  <c r="G269"/>
  <c r="G433"/>
  <c r="G462"/>
  <c r="G432"/>
  <c r="I432"/>
  <c r="G366"/>
  <c r="G365"/>
  <c r="G95"/>
  <c r="G259"/>
  <c r="G301" s="1"/>
  <c r="G320"/>
  <c r="G307"/>
  <c r="G308"/>
  <c r="G287"/>
  <c r="G285"/>
  <c r="G284"/>
  <c r="G283"/>
  <c r="G49"/>
  <c r="G103" s="1"/>
  <c r="G48"/>
  <c r="G279"/>
  <c r="G278"/>
  <c r="G258"/>
  <c r="G275"/>
  <c r="G15"/>
  <c r="G719" s="1"/>
  <c r="H742" s="1"/>
  <c r="G41"/>
  <c r="G594" s="1"/>
  <c r="G172"/>
  <c r="G40"/>
  <c r="G498" s="1"/>
  <c r="G173"/>
  <c r="G161"/>
  <c r="G147"/>
  <c r="G57"/>
  <c r="G54"/>
  <c r="G56" s="1"/>
  <c r="G674" s="1"/>
  <c r="G53"/>
  <c r="G52"/>
  <c r="G31"/>
  <c r="G32" s="1"/>
  <c r="G29"/>
  <c r="G121" s="1"/>
  <c r="G25"/>
  <c r="G26" s="1"/>
  <c r="G23"/>
  <c r="G120" s="1"/>
  <c r="G19"/>
  <c r="G20" s="1"/>
  <c r="G17"/>
  <c r="G119" s="1"/>
  <c r="I91"/>
  <c r="I90"/>
  <c r="I89"/>
  <c r="G38"/>
  <c r="G37"/>
  <c r="G43"/>
  <c r="G47" s="1"/>
  <c r="G738" s="1"/>
  <c r="G42"/>
  <c r="G595" s="1"/>
  <c r="G39"/>
  <c r="G44" s="1"/>
  <c r="G77" s="1"/>
  <c r="G499"/>
  <c r="G300"/>
  <c r="G318" s="1"/>
  <c r="G280"/>
  <c r="G281" s="1"/>
  <c r="G276"/>
  <c r="G292" s="1"/>
  <c r="G441"/>
  <c r="G599" s="1"/>
  <c r="I259"/>
  <c r="G303"/>
  <c r="G183"/>
  <c r="G579"/>
  <c r="G598"/>
  <c r="I258"/>
  <c r="G659"/>
  <c r="G267"/>
  <c r="G400"/>
  <c r="G227"/>
  <c r="G346"/>
  <c r="G466"/>
  <c r="G467" s="1"/>
  <c r="G443"/>
  <c r="G489" s="1"/>
  <c r="G289"/>
  <c r="G46"/>
  <c r="G675" s="1"/>
  <c r="G148"/>
  <c r="G500"/>
  <c r="G509" s="1"/>
  <c r="G312"/>
  <c r="G477"/>
  <c r="G139"/>
  <c r="G96"/>
  <c r="G99" s="1"/>
  <c r="G224" s="1"/>
  <c r="G478"/>
  <c r="G479"/>
  <c r="G475"/>
  <c r="G487"/>
  <c r="G453"/>
  <c r="G537"/>
  <c r="G486"/>
  <c r="G504"/>
  <c r="N637"/>
  <c r="I433"/>
  <c r="G507" l="1"/>
  <c r="G321"/>
  <c r="G322" s="1"/>
  <c r="G59"/>
  <c r="G175"/>
  <c r="G100"/>
  <c r="G277" s="1"/>
  <c r="G474"/>
  <c r="G476" s="1"/>
  <c r="G480" s="1"/>
  <c r="G65"/>
  <c r="G706"/>
  <c r="G709" s="1"/>
  <c r="G683"/>
  <c r="Q119"/>
  <c r="P119"/>
  <c r="N119"/>
  <c r="R119"/>
  <c r="N120"/>
  <c r="O120"/>
  <c r="R120"/>
  <c r="O121"/>
  <c r="Q121"/>
  <c r="P121"/>
  <c r="R121"/>
  <c r="G98"/>
  <c r="G291"/>
  <c r="G293" s="1"/>
  <c r="G502"/>
  <c r="G288"/>
  <c r="G290" s="1"/>
  <c r="G444"/>
  <c r="G159"/>
  <c r="G164" s="1"/>
  <c r="G165" s="1"/>
  <c r="G401"/>
  <c r="G228"/>
  <c r="G66"/>
  <c r="G682"/>
  <c r="G75"/>
  <c r="G76" s="1"/>
  <c r="G205"/>
  <c r="G107"/>
  <c r="G463" s="1"/>
  <c r="G106"/>
  <c r="G397" s="1"/>
  <c r="G105"/>
  <c r="G396" s="1"/>
  <c r="G104"/>
  <c r="G508"/>
  <c r="G510"/>
  <c r="G679"/>
  <c r="G74"/>
  <c r="G97"/>
  <c r="Q120"/>
  <c r="Q122" s="1"/>
  <c r="P120"/>
  <c r="O119"/>
  <c r="O122" s="1"/>
  <c r="N121"/>
  <c r="G317"/>
  <c r="G313"/>
  <c r="G316" s="1"/>
  <c r="G314"/>
  <c r="G323" s="1"/>
  <c r="G324" s="1"/>
  <c r="G203"/>
  <c r="G503"/>
  <c r="G511" s="1"/>
  <c r="G60"/>
  <c r="G118" s="1"/>
  <c r="G63"/>
  <c r="G512" l="1"/>
  <c r="P122"/>
  <c r="G191"/>
  <c r="G116"/>
  <c r="G117" s="1"/>
  <c r="G123" s="1"/>
  <c r="G223"/>
  <c r="G124"/>
  <c r="G325"/>
  <c r="G326" s="1"/>
  <c r="G370" s="1"/>
  <c r="N122"/>
  <c r="G294"/>
  <c r="G296" s="1"/>
  <c r="G355" s="1"/>
  <c r="R122"/>
  <c r="G560"/>
  <c r="G265"/>
  <c r="G344"/>
  <c r="G190"/>
  <c r="G178"/>
  <c r="N124"/>
  <c r="I643"/>
  <c r="G554"/>
  <c r="G364"/>
  <c r="G306"/>
  <c r="I652"/>
  <c r="G492"/>
  <c r="G557"/>
  <c r="I651"/>
  <c r="G309"/>
  <c r="G495"/>
  <c r="G367"/>
  <c r="I642"/>
  <c r="G663"/>
  <c r="G179"/>
  <c r="G79"/>
  <c r="G80" s="1"/>
  <c r="F63"/>
  <c r="G64"/>
  <c r="G128"/>
  <c r="G126"/>
  <c r="N123" l="1"/>
  <c r="G482"/>
  <c r="G546" s="1"/>
  <c r="G83"/>
  <c r="G82"/>
  <c r="G192"/>
  <c r="G193" s="1"/>
  <c r="G180"/>
  <c r="G181" s="1"/>
  <c r="I646"/>
  <c r="I637"/>
  <c r="G647"/>
  <c r="I647" s="1"/>
  <c r="G215"/>
  <c r="G601"/>
  <c r="G403"/>
  <c r="G617"/>
  <c r="G419"/>
  <c r="G245"/>
  <c r="G230"/>
  <c r="G127"/>
  <c r="G724" s="1"/>
  <c r="G736" s="1"/>
  <c r="G125"/>
  <c r="N125"/>
  <c r="G122"/>
  <c r="G638"/>
  <c r="G214"/>
  <c r="G81"/>
  <c r="G220" l="1"/>
  <c r="G248" s="1"/>
  <c r="G219"/>
  <c r="G218"/>
  <c r="G233" s="1"/>
  <c r="G221"/>
  <c r="O638"/>
  <c r="N638"/>
  <c r="I638"/>
  <c r="G418"/>
  <c r="G402"/>
  <c r="G244"/>
  <c r="G229"/>
  <c r="G616"/>
  <c r="G600"/>
  <c r="G529"/>
  <c r="G551" s="1"/>
  <c r="G580"/>
  <c r="G528"/>
  <c r="G195"/>
  <c r="G442"/>
  <c r="G615" s="1"/>
  <c r="G360"/>
  <c r="G361" s="1"/>
  <c r="G416"/>
  <c r="G614"/>
  <c r="G242"/>
  <c r="G129"/>
  <c r="G84"/>
  <c r="G445" l="1"/>
  <c r="G446" s="1"/>
  <c r="G581"/>
  <c r="G86"/>
  <c r="G85"/>
  <c r="G184"/>
  <c r="G186" s="1"/>
  <c r="G201" s="1"/>
  <c r="G234"/>
  <c r="G249"/>
  <c r="G196"/>
  <c r="G198" s="1"/>
  <c r="G202" s="1"/>
  <c r="G582"/>
  <c r="G417"/>
  <c r="G243"/>
  <c r="G530"/>
  <c r="G531" s="1"/>
  <c r="G639" l="1"/>
  <c r="G264"/>
  <c r="G266" s="1"/>
  <c r="F203"/>
  <c r="G207"/>
  <c r="G304" s="1"/>
  <c r="G204"/>
  <c r="G232"/>
  <c r="G236" s="1"/>
  <c r="G239" s="1"/>
  <c r="G421"/>
  <c r="G405"/>
  <c r="G247"/>
  <c r="G251" s="1"/>
  <c r="G254" s="1"/>
  <c r="G603"/>
  <c r="G619"/>
  <c r="G343"/>
  <c r="G345" s="1"/>
  <c r="G648"/>
  <c r="I648" s="1"/>
  <c r="K648" s="1"/>
  <c r="G209"/>
  <c r="G362" s="1"/>
  <c r="G246"/>
  <c r="G250" s="1"/>
  <c r="G253" s="1"/>
  <c r="G420"/>
  <c r="G231"/>
  <c r="G618"/>
  <c r="G404"/>
  <c r="G602"/>
  <c r="G235"/>
  <c r="G238" s="1"/>
  <c r="G363" l="1"/>
  <c r="G368" s="1"/>
  <c r="G372" s="1"/>
  <c r="G350"/>
  <c r="G305"/>
  <c r="G310" s="1"/>
  <c r="G328" s="1"/>
  <c r="G271"/>
  <c r="N639"/>
  <c r="O639"/>
  <c r="I639"/>
  <c r="K639" s="1"/>
  <c r="G268" l="1"/>
  <c r="G272" s="1"/>
  <c r="G347"/>
  <c r="G351" s="1"/>
  <c r="G375" l="1"/>
  <c r="G535"/>
  <c r="G331"/>
  <c r="G451"/>
  <c r="G387" l="1"/>
  <c r="G336"/>
  <c r="G388"/>
  <c r="G380"/>
  <c r="G394" l="1"/>
  <c r="G393"/>
  <c r="G422" s="1"/>
  <c r="G338"/>
  <c r="G490" s="1"/>
  <c r="G450"/>
  <c r="G452" s="1"/>
  <c r="G640"/>
  <c r="G382"/>
  <c r="G552" s="1"/>
  <c r="G534"/>
  <c r="G536" s="1"/>
  <c r="G649"/>
  <c r="I649" s="1"/>
  <c r="K649" s="1"/>
  <c r="G392"/>
  <c r="G391"/>
  <c r="G406" s="1"/>
  <c r="G553" l="1"/>
  <c r="G558" s="1"/>
  <c r="G562" s="1"/>
  <c r="N640"/>
  <c r="O640"/>
  <c r="I640"/>
  <c r="K640" s="1"/>
  <c r="G491"/>
  <c r="G496" s="1"/>
  <c r="G514" s="1"/>
  <c r="G407"/>
  <c r="G408" s="1"/>
  <c r="G541"/>
  <c r="G538" s="1"/>
  <c r="G457"/>
  <c r="G454" s="1"/>
  <c r="G423"/>
  <c r="G424" s="1"/>
  <c r="G427" s="1"/>
  <c r="G425" l="1"/>
  <c r="G428" s="1"/>
  <c r="G542"/>
  <c r="G565" s="1"/>
  <c r="G409"/>
  <c r="G413" s="1"/>
  <c r="G458"/>
  <c r="G517" s="1"/>
  <c r="G411"/>
  <c r="G412"/>
  <c r="G586" l="1"/>
  <c r="G570"/>
  <c r="G585"/>
  <c r="G522"/>
  <c r="G677" l="1"/>
  <c r="G589"/>
  <c r="G590"/>
  <c r="G604" s="1"/>
  <c r="G591"/>
  <c r="G620" s="1"/>
  <c r="G592"/>
  <c r="G524"/>
  <c r="G641"/>
  <c r="G650"/>
  <c r="I650" s="1"/>
  <c r="G572"/>
  <c r="O641" l="1"/>
  <c r="N641"/>
  <c r="I641"/>
  <c r="G605"/>
  <c r="G607" s="1"/>
  <c r="G611" s="1"/>
  <c r="G678"/>
  <c r="F680" s="1"/>
  <c r="I680" s="1"/>
  <c r="G681"/>
  <c r="G721"/>
  <c r="G737" s="1"/>
  <c r="G739" s="1"/>
  <c r="G741" s="1"/>
  <c r="F742" s="1"/>
  <c r="G743" s="1"/>
  <c r="K650"/>
  <c r="G621"/>
  <c r="G622" s="1"/>
  <c r="G625" s="1"/>
  <c r="G623" l="1"/>
  <c r="G626" s="1"/>
  <c r="G606"/>
  <c r="G609" s="1"/>
  <c r="G662"/>
  <c r="K641"/>
  <c r="G684"/>
  <c r="G685"/>
  <c r="G610" l="1"/>
  <c r="G673"/>
  <c r="G672"/>
  <c r="G687" s="1"/>
  <c r="G688" s="1"/>
  <c r="H712" l="1"/>
  <c r="K673"/>
  <c r="G690"/>
  <c r="F691" s="1"/>
  <c r="G692" l="1"/>
  <c r="G693"/>
  <c r="G694" s="1"/>
  <c r="I691"/>
  <c r="G704" l="1"/>
  <c r="G707" s="1"/>
  <c r="G711" s="1"/>
  <c r="F712" s="1"/>
  <c r="G713" s="1"/>
  <c r="G698"/>
  <c r="G700" s="1"/>
  <c r="F702" s="1"/>
  <c r="I702" s="1"/>
  <c r="G699"/>
  <c r="G701" s="1"/>
  <c r="F703" s="1"/>
  <c r="I703" s="1"/>
</calcChain>
</file>

<file path=xl/comments1.xml><?xml version="1.0" encoding="utf-8"?>
<comments xmlns="http://schemas.openxmlformats.org/spreadsheetml/2006/main">
  <authors>
    <author>Franta Girgle</author>
  </authors>
  <commentList>
    <comment ref="G49" authorId="0">
      <text>
        <r>
          <rPr>
            <sz val="9"/>
            <color indexed="81"/>
            <rFont val="Tahoma"/>
            <family val="2"/>
            <charset val="238"/>
          </rPr>
          <t>0,20 - třída R -cement třídy CEM 42,5R; CEM 52,5N; CEM 52,5R
0,25 - třída N - cement třídy CEM 32,5R; CEM 42,5N
0,38 - třída S - cement třídy CEM 32,5N</t>
        </r>
      </text>
    </comment>
    <comment ref="G112" authorId="0">
      <text>
        <r>
          <rPr>
            <sz val="9"/>
            <color indexed="81"/>
            <rFont val="Tahoma"/>
            <family val="2"/>
            <charset val="238"/>
          </rPr>
          <t>2,7 dráty s vtisky
3,2 3drátová a 7drátová lana</t>
        </r>
      </text>
    </comment>
    <comment ref="G113" authorId="0">
      <text>
        <r>
          <rPr>
            <sz val="9"/>
            <color indexed="81"/>
            <rFont val="Tahoma"/>
            <family val="2"/>
            <charset val="238"/>
          </rPr>
          <t>1,0 dobré podmínky v soudržnosti (dle 8.4.2)
0,7 pro ostatní případy</t>
        </r>
      </text>
    </comment>
    <comment ref="G114" authorId="0">
      <text>
        <r>
          <rPr>
            <sz val="9"/>
            <color indexed="81"/>
            <rFont val="Tahoma"/>
            <family val="2"/>
            <charset val="238"/>
          </rPr>
          <t>1,0 při postupném uvolňování
1,25 při náhlém uvolnění</t>
        </r>
      </text>
    </comment>
    <comment ref="G115" authorId="0">
      <text>
        <r>
          <rPr>
            <sz val="9"/>
            <color indexed="81"/>
            <rFont val="Tahoma"/>
            <family val="2"/>
            <charset val="238"/>
          </rPr>
          <t>0,25 předpínací vložky s kruhovým průřezem
0,19 3drátová a 7drátová lana</t>
        </r>
      </text>
    </comment>
    <comment ref="L316" authorId="0">
      <text>
        <r>
          <rPr>
            <sz val="9"/>
            <color indexed="81"/>
            <rFont val="Tahoma"/>
            <family val="2"/>
            <charset val="238"/>
          </rPr>
          <t>Platí pouze pro fcm&gt;35MPa (tj. beton C25/30 a vyšší)
pro nižší pevnosti použít vztah B.3a - příloha B, norma [1]</t>
        </r>
      </text>
    </comment>
    <comment ref="L323" authorId="0">
      <text>
        <r>
          <rPr>
            <sz val="9"/>
            <color indexed="81"/>
            <rFont val="Tahoma"/>
            <family val="2"/>
            <charset val="238"/>
          </rPr>
          <t>Platí pouze pro fcm&gt;35MPa (tj. beton C25/30 a vyšší)
pro nižší pevnosti použít vztah B.8a - příloha B, norma [1]</t>
        </r>
      </text>
    </comment>
    <comment ref="L502" authorId="0">
      <text>
        <r>
          <rPr>
            <sz val="9"/>
            <color indexed="81"/>
            <rFont val="Tahoma"/>
            <family val="2"/>
            <charset val="238"/>
          </rPr>
          <t>Platí pouze pro fcm&gt;35MPa (tj. beton C25/30 a vyšší)
pro nižší pevnosti použít vztah B.3a - příloha B, norma [1]</t>
        </r>
      </text>
    </comment>
    <comment ref="L509" authorId="0">
      <text>
        <r>
          <rPr>
            <sz val="9"/>
            <color indexed="81"/>
            <rFont val="Tahoma"/>
            <family val="2"/>
            <charset val="238"/>
          </rPr>
          <t>Platí pouze pro fcm&gt;35MPa (tj. beton C25/30 a vyšší)
pro nižší pevnosti použít vztah B.8a - příloha B, norma [1]</t>
        </r>
      </text>
    </comment>
    <comment ref="G701" authorId="0">
      <text>
        <r>
          <rPr>
            <b/>
            <sz val="9"/>
            <color indexed="81"/>
            <rFont val="Tahoma"/>
            <family val="2"/>
            <charset val="238"/>
          </rPr>
          <t>Maximální přetvoření 15</t>
        </r>
        <r>
          <rPr>
            <b/>
            <sz val="9"/>
            <color indexed="81"/>
            <rFont val="Calibri"/>
            <family val="2"/>
            <charset val="238"/>
          </rPr>
          <t>‰</t>
        </r>
        <r>
          <rPr>
            <b/>
            <sz val="9"/>
            <color indexed="81"/>
            <rFont val="Tahoma"/>
            <family val="2"/>
            <charset val="238"/>
          </rPr>
          <t>!!!
(</t>
        </r>
        <r>
          <rPr>
            <sz val="9"/>
            <color indexed="81"/>
            <rFont val="Tahoma"/>
            <family val="2"/>
            <charset val="238"/>
          </rPr>
          <t>Neuvede-li výrobce jinak)</t>
        </r>
      </text>
    </comment>
  </commentList>
</comments>
</file>

<file path=xl/sharedStrings.xml><?xml version="1.0" encoding="utf-8"?>
<sst xmlns="http://schemas.openxmlformats.org/spreadsheetml/2006/main" count="2504" uniqueCount="977">
  <si>
    <t>Materiálové charakteristiky</t>
  </si>
  <si>
    <t>Geometrie panelu a předpínací dráhy</t>
  </si>
  <si>
    <t>a) beton</t>
  </si>
  <si>
    <t>Beton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</si>
  <si>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</si>
  <si>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</si>
  <si>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</si>
  <si>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</si>
  <si>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</si>
  <si>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</si>
  <si>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</si>
  <si>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</si>
  <si>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</si>
  <si>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</si>
  <si>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</si>
  <si>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</si>
  <si>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r>
      <t>f</t>
    </r>
    <r>
      <rPr>
        <vertAlign val="subscript"/>
        <sz val="10"/>
        <rFont val="Arial"/>
        <family val="2"/>
        <charset val="238"/>
      </rPr>
      <t>ck</t>
    </r>
  </si>
  <si>
    <r>
      <t>f</t>
    </r>
    <r>
      <rPr>
        <vertAlign val="subscript"/>
        <sz val="10"/>
        <rFont val="Arial"/>
        <family val="2"/>
        <charset val="238"/>
      </rPr>
      <t>ck,cube</t>
    </r>
  </si>
  <si>
    <r>
      <t>f</t>
    </r>
    <r>
      <rPr>
        <vertAlign val="subscript"/>
        <sz val="10"/>
        <rFont val="Arial"/>
        <family val="2"/>
        <charset val="238"/>
      </rPr>
      <t>cm</t>
    </r>
  </si>
  <si>
    <r>
      <t>f</t>
    </r>
    <r>
      <rPr>
        <vertAlign val="subscript"/>
        <sz val="10"/>
        <rFont val="Arial"/>
        <family val="2"/>
        <charset val="238"/>
      </rPr>
      <t>ctm</t>
    </r>
  </si>
  <si>
    <r>
      <t>f</t>
    </r>
    <r>
      <rPr>
        <vertAlign val="subscript"/>
        <sz val="10"/>
        <rFont val="Arial"/>
        <family val="2"/>
        <charset val="238"/>
      </rPr>
      <t>ctk,0,05</t>
    </r>
  </si>
  <si>
    <r>
      <t>f</t>
    </r>
    <r>
      <rPr>
        <vertAlign val="subscript"/>
        <sz val="10"/>
        <rFont val="Arial"/>
        <family val="2"/>
        <charset val="238"/>
      </rPr>
      <t>ctk,0,95</t>
    </r>
  </si>
  <si>
    <r>
      <t>E</t>
    </r>
    <r>
      <rPr>
        <vertAlign val="subscript"/>
        <sz val="10"/>
        <rFont val="Arial"/>
        <family val="2"/>
        <charset val="238"/>
      </rPr>
      <t>cm</t>
    </r>
  </si>
  <si>
    <r>
      <t>e</t>
    </r>
    <r>
      <rPr>
        <vertAlign val="subscript"/>
        <sz val="10"/>
        <rFont val="Arial"/>
        <family val="2"/>
        <charset val="238"/>
      </rPr>
      <t>c3</t>
    </r>
    <r>
      <rPr>
        <sz val="10"/>
        <rFont val="Arial"/>
        <family val="2"/>
        <charset val="238"/>
      </rPr>
      <t xml:space="preserve"> (‰)</t>
    </r>
  </si>
  <si>
    <r>
      <t>e</t>
    </r>
    <r>
      <rPr>
        <vertAlign val="subscript"/>
        <sz val="10"/>
        <rFont val="Arial"/>
        <family val="2"/>
        <charset val="238"/>
      </rPr>
      <t>cu3</t>
    </r>
    <r>
      <rPr>
        <sz val="10"/>
        <rFont val="Arial"/>
        <family val="2"/>
        <charset val="238"/>
      </rPr>
      <t xml:space="preserve"> (‰)</t>
    </r>
  </si>
  <si>
    <t>ni</t>
  </si>
  <si>
    <t>gama</t>
  </si>
  <si>
    <t>alfa</t>
  </si>
  <si>
    <t>alt CSN</t>
  </si>
  <si>
    <t>C12/15</t>
  </si>
  <si>
    <t>B 15</t>
  </si>
  <si>
    <t>C16/20</t>
  </si>
  <si>
    <t>B 20</t>
  </si>
  <si>
    <t>C20/25</t>
  </si>
  <si>
    <t>B 25</t>
  </si>
  <si>
    <t>C25/30</t>
  </si>
  <si>
    <t>B 30</t>
  </si>
  <si>
    <t>C30/37</t>
  </si>
  <si>
    <t>B 35</t>
  </si>
  <si>
    <t>C35/45</t>
  </si>
  <si>
    <t>B 45</t>
  </si>
  <si>
    <t>C40/50</t>
  </si>
  <si>
    <t>B 50</t>
  </si>
  <si>
    <t>C45/55</t>
  </si>
  <si>
    <t>B 55</t>
  </si>
  <si>
    <t>C50/60</t>
  </si>
  <si>
    <t>B 60</t>
  </si>
  <si>
    <t>C55/67</t>
  </si>
  <si>
    <t>C60/75</t>
  </si>
  <si>
    <t>C70/85</t>
  </si>
  <si>
    <t>C80/95</t>
  </si>
  <si>
    <t>C90/105</t>
  </si>
  <si>
    <r>
      <t>E</t>
    </r>
    <r>
      <rPr>
        <vertAlign val="subscript"/>
        <sz val="11"/>
        <color indexed="8"/>
        <rFont val="Arial Narrow"/>
        <family val="2"/>
        <charset val="238"/>
      </rPr>
      <t>cm</t>
    </r>
  </si>
  <si>
    <t>Pevnostní třída betonu</t>
  </si>
  <si>
    <t>pevnostní třída betonu</t>
  </si>
  <si>
    <t>přepínače</t>
  </si>
  <si>
    <t>Použité kamenivo</t>
  </si>
  <si>
    <t>kamenivo</t>
  </si>
  <si>
    <t>Silikátové kamenivo</t>
  </si>
  <si>
    <t>Vápencové kamenivo</t>
  </si>
  <si>
    <t>Pískovcové kamenivo</t>
  </si>
  <si>
    <t>Čedičové kamenivo</t>
  </si>
  <si>
    <t>použité kamenivo</t>
  </si>
  <si>
    <t>Charakteristická pevnost v tlaku</t>
  </si>
  <si>
    <t>Charakteristická pevnost v tahu</t>
  </si>
  <si>
    <r>
      <t>f</t>
    </r>
    <r>
      <rPr>
        <vertAlign val="subscript"/>
        <sz val="10"/>
        <rFont val="Arial Narrow"/>
        <family val="2"/>
        <charset val="238"/>
      </rPr>
      <t>ck</t>
    </r>
  </si>
  <si>
    <r>
      <t>f</t>
    </r>
    <r>
      <rPr>
        <vertAlign val="subscript"/>
        <sz val="10"/>
        <rFont val="Arial Narrow"/>
        <family val="2"/>
        <charset val="238"/>
      </rPr>
      <t>ctk,0,05</t>
    </r>
  </si>
  <si>
    <t>=</t>
  </si>
  <si>
    <t>GPa</t>
  </si>
  <si>
    <t>MPa</t>
  </si>
  <si>
    <r>
      <t xml:space="preserve">Aktuální modul pružnosti </t>
    </r>
    <r>
      <rPr>
        <sz val="8"/>
        <color indexed="8"/>
        <rFont val="Arial Narrow"/>
        <family val="2"/>
        <charset val="238"/>
      </rPr>
      <t>(započten vliv kameniva)</t>
    </r>
  </si>
  <si>
    <r>
      <t xml:space="preserve">Základní sečnový modul pružnosti </t>
    </r>
    <r>
      <rPr>
        <sz val="8"/>
        <color indexed="8"/>
        <rFont val="Arial Narrow"/>
        <family val="2"/>
        <charset val="238"/>
      </rPr>
      <t>(pro danou třídu)</t>
    </r>
  </si>
  <si>
    <t>(3.1.3, tab. 3.1)</t>
  </si>
  <si>
    <t>(3.1.2, tab. 3.1)</t>
  </si>
  <si>
    <t>Výpočtová pevnost v tlaku</t>
  </si>
  <si>
    <t>Výpočtová pevnost v tahu</t>
  </si>
  <si>
    <r>
      <t>f</t>
    </r>
    <r>
      <rPr>
        <vertAlign val="subscript"/>
        <sz val="10"/>
        <rFont val="Arial Narrow"/>
        <family val="2"/>
        <charset val="238"/>
      </rPr>
      <t>cd</t>
    </r>
  </si>
  <si>
    <r>
      <t>f</t>
    </r>
    <r>
      <rPr>
        <vertAlign val="subscript"/>
        <sz val="10"/>
        <rFont val="Arial Narrow"/>
        <family val="2"/>
        <charset val="238"/>
      </rPr>
      <t>ctd,0,05</t>
    </r>
  </si>
  <si>
    <t>(3.1.3, čl(2))</t>
  </si>
  <si>
    <r>
      <t>E</t>
    </r>
    <r>
      <rPr>
        <vertAlign val="subscript"/>
        <sz val="11"/>
        <color indexed="8"/>
        <rFont val="Arial Narrow"/>
        <family val="2"/>
        <charset val="238"/>
      </rPr>
      <t>cm,0</t>
    </r>
  </si>
  <si>
    <t>mm</t>
  </si>
  <si>
    <t>předpínací lana</t>
  </si>
  <si>
    <r>
      <t>d</t>
    </r>
    <r>
      <rPr>
        <vertAlign val="subscript"/>
        <sz val="11"/>
        <color indexed="8"/>
        <rFont val="Calibri"/>
        <family val="2"/>
        <charset val="238"/>
      </rPr>
      <t>p</t>
    </r>
  </si>
  <si>
    <r>
      <t>A</t>
    </r>
    <r>
      <rPr>
        <vertAlign val="subscript"/>
        <sz val="11"/>
        <color indexed="8"/>
        <rFont val="Calibri"/>
        <family val="2"/>
        <charset val="238"/>
      </rPr>
      <t>p</t>
    </r>
  </si>
  <si>
    <t>označení lana</t>
  </si>
  <si>
    <t>Y1860S7-9,3</t>
  </si>
  <si>
    <t>Y1860S7-12,5</t>
  </si>
  <si>
    <t>E</t>
  </si>
  <si>
    <r>
      <t>f</t>
    </r>
    <r>
      <rPr>
        <vertAlign val="subscript"/>
        <sz val="11"/>
        <color indexed="8"/>
        <rFont val="Calibri"/>
        <family val="2"/>
        <charset val="238"/>
      </rPr>
      <t>pk</t>
    </r>
  </si>
  <si>
    <r>
      <t>f</t>
    </r>
    <r>
      <rPr>
        <vertAlign val="subscript"/>
        <sz val="11"/>
        <color indexed="8"/>
        <rFont val="Calibri"/>
        <family val="2"/>
        <charset val="238"/>
      </rPr>
      <t>p0,1k</t>
    </r>
  </si>
  <si>
    <t>Y1860S7-15,2</t>
  </si>
  <si>
    <t>Y1860S7-15,7</t>
  </si>
  <si>
    <t>Y1860S7-12,9</t>
  </si>
  <si>
    <t>Y1770S7-15,2</t>
  </si>
  <si>
    <t>Y1770S7-15,7</t>
  </si>
  <si>
    <t>Y1770S7-12,5</t>
  </si>
  <si>
    <t>Y1770S7-12,9</t>
  </si>
  <si>
    <t>Y1770S7-9,3</t>
  </si>
  <si>
    <t>m</t>
  </si>
  <si>
    <r>
      <t>mm</t>
    </r>
    <r>
      <rPr>
        <vertAlign val="superscript"/>
        <sz val="11"/>
        <color indexed="8"/>
        <rFont val="Arial Narrow"/>
        <family val="2"/>
        <charset val="238"/>
      </rPr>
      <t>2</t>
    </r>
  </si>
  <si>
    <t>ks</t>
  </si>
  <si>
    <t>charakteristická pevnost předpínací výztuže v tahu</t>
  </si>
  <si>
    <r>
      <t>f</t>
    </r>
    <r>
      <rPr>
        <vertAlign val="subscript"/>
        <sz val="11"/>
        <color indexed="8"/>
        <rFont val="Arial Narrow"/>
        <family val="2"/>
        <charset val="238"/>
      </rPr>
      <t>pk</t>
    </r>
  </si>
  <si>
    <t>charakteristická mez kluzu předpínací výztuže</t>
  </si>
  <si>
    <r>
      <t>f</t>
    </r>
    <r>
      <rPr>
        <vertAlign val="subscript"/>
        <sz val="11"/>
        <color indexed="8"/>
        <rFont val="Arial Narrow"/>
        <family val="2"/>
        <charset val="238"/>
      </rPr>
      <t>p0,1k</t>
    </r>
  </si>
  <si>
    <t>návrhová pevnost předpínací výztuže</t>
  </si>
  <si>
    <r>
      <t>f</t>
    </r>
    <r>
      <rPr>
        <vertAlign val="subscript"/>
        <sz val="11"/>
        <color indexed="8"/>
        <rFont val="Arial Narrow"/>
        <family val="2"/>
        <charset val="238"/>
      </rPr>
      <t>pd</t>
    </r>
  </si>
  <si>
    <r>
      <t>f</t>
    </r>
    <r>
      <rPr>
        <vertAlign val="subscript"/>
        <sz val="11"/>
        <rFont val="Arial Narrow"/>
        <family val="2"/>
        <charset val="238"/>
      </rPr>
      <t>cd</t>
    </r>
    <r>
      <rPr>
        <sz val="11"/>
        <rFont val="Arial Narrow"/>
        <family val="2"/>
        <charset val="238"/>
      </rPr>
      <t xml:space="preserve"> = </t>
    </r>
    <r>
      <rPr>
        <sz val="12"/>
        <rFont val="Symbol"/>
        <family val="1"/>
        <charset val="2"/>
      </rPr>
      <t>a</t>
    </r>
    <r>
      <rPr>
        <vertAlign val="subscript"/>
        <sz val="11"/>
        <rFont val="Arial Narrow"/>
        <family val="2"/>
        <charset val="238"/>
      </rPr>
      <t>cc</t>
    </r>
    <r>
      <rPr>
        <sz val="11"/>
        <rFont val="Arial Narrow"/>
        <family val="2"/>
        <charset val="238"/>
      </rPr>
      <t xml:space="preserve"> f</t>
    </r>
    <r>
      <rPr>
        <vertAlign val="subscript"/>
        <sz val="11"/>
        <rFont val="Arial Narrow"/>
        <family val="2"/>
        <charset val="238"/>
      </rPr>
      <t>ck</t>
    </r>
    <r>
      <rPr>
        <sz val="11"/>
        <rFont val="Arial Narrow"/>
        <family val="2"/>
        <charset val="238"/>
      </rPr>
      <t xml:space="preserve"> / </t>
    </r>
    <r>
      <rPr>
        <sz val="12"/>
        <rFont val="Symbol"/>
        <family val="1"/>
        <charset val="2"/>
      </rPr>
      <t>g</t>
    </r>
    <r>
      <rPr>
        <vertAlign val="subscript"/>
        <sz val="11"/>
        <rFont val="Arial Narrow"/>
        <family val="2"/>
        <charset val="238"/>
      </rPr>
      <t>c</t>
    </r>
  </si>
  <si>
    <r>
      <t>f</t>
    </r>
    <r>
      <rPr>
        <vertAlign val="subscript"/>
        <sz val="11"/>
        <rFont val="Arial Narrow"/>
        <family val="2"/>
        <charset val="238"/>
      </rPr>
      <t>ctd,0,05</t>
    </r>
    <r>
      <rPr>
        <sz val="11"/>
        <rFont val="Arial Narrow"/>
        <family val="2"/>
        <charset val="238"/>
      </rPr>
      <t xml:space="preserve"> = </t>
    </r>
    <r>
      <rPr>
        <sz val="12"/>
        <rFont val="Symbol"/>
        <family val="1"/>
        <charset val="2"/>
      </rPr>
      <t>a</t>
    </r>
    <r>
      <rPr>
        <vertAlign val="subscript"/>
        <sz val="11"/>
        <rFont val="Arial Narrow"/>
        <family val="2"/>
        <charset val="238"/>
      </rPr>
      <t>ct</t>
    </r>
    <r>
      <rPr>
        <sz val="11"/>
        <rFont val="Arial Narrow"/>
        <family val="2"/>
        <charset val="238"/>
      </rPr>
      <t xml:space="preserve"> f</t>
    </r>
    <r>
      <rPr>
        <vertAlign val="subscript"/>
        <sz val="11"/>
        <rFont val="Arial Narrow"/>
        <family val="2"/>
        <charset val="238"/>
      </rPr>
      <t>ctk,0,05</t>
    </r>
    <r>
      <rPr>
        <sz val="11"/>
        <rFont val="Arial Narrow"/>
        <family val="2"/>
        <charset val="238"/>
      </rPr>
      <t xml:space="preserve"> / </t>
    </r>
    <r>
      <rPr>
        <sz val="12"/>
        <rFont val="Symbol"/>
        <family val="1"/>
        <charset val="2"/>
      </rPr>
      <t>g</t>
    </r>
    <r>
      <rPr>
        <vertAlign val="subscript"/>
        <sz val="11"/>
        <rFont val="Arial Narrow"/>
        <family val="2"/>
        <charset val="238"/>
      </rPr>
      <t>c</t>
    </r>
  </si>
  <si>
    <t>(3.3.6, čl(6))</t>
  </si>
  <si>
    <r>
      <rPr>
        <sz val="12"/>
        <color indexed="8"/>
        <rFont val="Symbol"/>
        <family val="1"/>
        <charset val="2"/>
      </rPr>
      <t>g</t>
    </r>
    <r>
      <rPr>
        <vertAlign val="subscript"/>
        <sz val="11"/>
        <color indexed="8"/>
        <rFont val="Arial Narrow"/>
        <family val="2"/>
        <charset val="238"/>
      </rPr>
      <t>s</t>
    </r>
    <r>
      <rPr>
        <sz val="11"/>
        <color indexed="8"/>
        <rFont val="Arial Narrow"/>
        <family val="2"/>
        <charset val="238"/>
      </rPr>
      <t xml:space="preserve"> = 1,15</t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</si>
  <si>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p,in</t>
    </r>
  </si>
  <si>
    <t>(5.10.2.1, čl(1))</t>
  </si>
  <si>
    <t>celková počáteční předpínací síla</t>
  </si>
  <si>
    <r>
      <t>N</t>
    </r>
    <r>
      <rPr>
        <vertAlign val="subscript"/>
        <sz val="11"/>
        <color indexed="8"/>
        <rFont val="Arial Narrow"/>
        <family val="2"/>
        <charset val="238"/>
      </rPr>
      <t>p,in</t>
    </r>
    <r>
      <rPr>
        <sz val="11"/>
        <color indexed="8"/>
        <rFont val="Arial Narrow"/>
        <family val="2"/>
        <charset val="238"/>
      </rPr>
      <t xml:space="preserve"> = (A</t>
    </r>
    <r>
      <rPr>
        <vertAlign val="subscript"/>
        <sz val="11"/>
        <color indexed="8"/>
        <rFont val="Arial Narrow"/>
        <family val="2"/>
        <charset val="238"/>
      </rPr>
      <t xml:space="preserve">p,celk,h </t>
    </r>
    <r>
      <rPr>
        <sz val="11"/>
        <color indexed="8"/>
        <rFont val="Arial Narrow"/>
        <family val="2"/>
        <charset val="238"/>
      </rPr>
      <t>+ A</t>
    </r>
    <r>
      <rPr>
        <vertAlign val="subscript"/>
        <sz val="11"/>
        <color indexed="8"/>
        <rFont val="Arial Narrow"/>
        <family val="2"/>
        <charset val="238"/>
      </rPr>
      <t>p,celk,d</t>
    </r>
    <r>
      <rPr>
        <sz val="11"/>
        <color indexed="8"/>
        <rFont val="Arial Narrow"/>
        <family val="2"/>
        <charset val="238"/>
      </rPr>
      <t xml:space="preserve">) * </t>
    </r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p,in</t>
    </r>
  </si>
  <si>
    <t>(5.41)</t>
  </si>
  <si>
    <t>(3.15)</t>
  </si>
  <si>
    <t>(3.16)</t>
  </si>
  <si>
    <r>
      <t>f</t>
    </r>
    <r>
      <rPr>
        <vertAlign val="subscript"/>
        <sz val="11"/>
        <rFont val="Arial Narrow"/>
        <family val="2"/>
        <charset val="238"/>
      </rPr>
      <t>cd</t>
    </r>
    <r>
      <rPr>
        <sz val="11"/>
        <rFont val="Arial Narrow"/>
        <family val="2"/>
        <charset val="238"/>
      </rPr>
      <t xml:space="preserve"> = f</t>
    </r>
    <r>
      <rPr>
        <vertAlign val="subscript"/>
        <sz val="11"/>
        <rFont val="Arial Narrow"/>
        <family val="2"/>
        <charset val="238"/>
      </rPr>
      <t>p0,1k</t>
    </r>
    <r>
      <rPr>
        <sz val="11"/>
        <rFont val="Arial Narrow"/>
        <family val="2"/>
        <charset val="238"/>
      </rPr>
      <t xml:space="preserve"> / </t>
    </r>
    <r>
      <rPr>
        <sz val="12"/>
        <rFont val="Symbol"/>
        <family val="1"/>
        <charset val="2"/>
      </rPr>
      <t>g</t>
    </r>
    <r>
      <rPr>
        <vertAlign val="subscript"/>
        <sz val="11"/>
        <rFont val="Arial Narrow"/>
        <family val="2"/>
        <charset val="238"/>
      </rPr>
      <t>s</t>
    </r>
  </si>
  <si>
    <t>kN</t>
  </si>
  <si>
    <r>
      <t>N</t>
    </r>
    <r>
      <rPr>
        <b/>
        <vertAlign val="subscript"/>
        <sz val="11"/>
        <color indexed="8"/>
        <rFont val="Arial Narrow"/>
        <family val="2"/>
        <charset val="238"/>
      </rPr>
      <t>p,in</t>
    </r>
  </si>
  <si>
    <r>
      <t>délka výrobní dráhy panelu</t>
    </r>
    <r>
      <rPr>
        <sz val="9"/>
        <color indexed="8"/>
        <rFont val="Arial Narrow"/>
        <family val="2"/>
        <charset val="238"/>
      </rPr>
      <t xml:space="preserve"> (tj. dráhy opěrného zařízení)</t>
    </r>
  </si>
  <si>
    <r>
      <t>L</t>
    </r>
    <r>
      <rPr>
        <vertAlign val="subscript"/>
        <sz val="11"/>
        <color indexed="8"/>
        <rFont val="Arial Narrow"/>
        <family val="2"/>
        <charset val="238"/>
      </rPr>
      <t>p</t>
    </r>
  </si>
  <si>
    <t>celková plocha předpínacích vložek</t>
  </si>
  <si>
    <r>
      <t>A</t>
    </r>
    <r>
      <rPr>
        <vertAlign val="subscript"/>
        <sz val="11"/>
        <color indexed="8"/>
        <rFont val="Arial Narrow"/>
        <family val="2"/>
        <charset val="238"/>
      </rPr>
      <t>p</t>
    </r>
  </si>
  <si>
    <t>výška panelu</t>
  </si>
  <si>
    <t>plocha ideálního průřezu</t>
  </si>
  <si>
    <r>
      <t>m</t>
    </r>
    <r>
      <rPr>
        <vertAlign val="superscript"/>
        <sz val="11"/>
        <color indexed="8"/>
        <rFont val="Arial Narrow"/>
        <family val="2"/>
        <charset val="238"/>
      </rPr>
      <t>2</t>
    </r>
  </si>
  <si>
    <r>
      <t>A</t>
    </r>
    <r>
      <rPr>
        <vertAlign val="subscript"/>
        <sz val="11"/>
        <color indexed="8"/>
        <rFont val="Arial Narrow"/>
        <family val="2"/>
        <charset val="238"/>
      </rPr>
      <t>id</t>
    </r>
  </si>
  <si>
    <t>h</t>
  </si>
  <si>
    <r>
      <t>m</t>
    </r>
    <r>
      <rPr>
        <vertAlign val="superscript"/>
        <sz val="11"/>
        <color indexed="8"/>
        <rFont val="Arial Narrow"/>
        <family val="2"/>
        <charset val="238"/>
      </rPr>
      <t>4</t>
    </r>
  </si>
  <si>
    <r>
      <t>m</t>
    </r>
    <r>
      <rPr>
        <vertAlign val="superscript"/>
        <sz val="11"/>
        <color indexed="8"/>
        <rFont val="Arial Narrow"/>
        <family val="2"/>
        <charset val="238"/>
      </rPr>
      <t>3</t>
    </r>
  </si>
  <si>
    <t>moment setrvačnosti k těžišti</t>
  </si>
  <si>
    <r>
      <t>I</t>
    </r>
    <r>
      <rPr>
        <vertAlign val="subscript"/>
        <sz val="11"/>
        <color indexed="8"/>
        <rFont val="Arial Narrow"/>
        <family val="2"/>
        <charset val="238"/>
      </rPr>
      <t>y,id</t>
    </r>
  </si>
  <si>
    <r>
      <t>W</t>
    </r>
    <r>
      <rPr>
        <vertAlign val="superscript"/>
        <sz val="11"/>
        <color indexed="8"/>
        <rFont val="Arial Narrow"/>
        <family val="2"/>
        <charset val="238"/>
      </rPr>
      <t>h</t>
    </r>
    <r>
      <rPr>
        <vertAlign val="subscript"/>
        <sz val="11"/>
        <color indexed="8"/>
        <rFont val="Arial Narrow"/>
        <family val="2"/>
        <charset val="238"/>
      </rPr>
      <t>y,id</t>
    </r>
  </si>
  <si>
    <r>
      <t>W</t>
    </r>
    <r>
      <rPr>
        <vertAlign val="superscript"/>
        <sz val="11"/>
        <color indexed="8"/>
        <rFont val="Arial Narrow"/>
        <family val="2"/>
        <charset val="238"/>
      </rPr>
      <t>d</t>
    </r>
    <r>
      <rPr>
        <vertAlign val="subscript"/>
        <sz val="11"/>
        <color indexed="8"/>
        <rFont val="Arial Narrow"/>
        <family val="2"/>
        <charset val="238"/>
      </rPr>
      <t>y,id</t>
    </r>
  </si>
  <si>
    <t>Předpokládaný časový průběh výroby panelu</t>
  </si>
  <si>
    <t>čas transferu předpětí do prvku</t>
  </si>
  <si>
    <r>
      <t>t</t>
    </r>
    <r>
      <rPr>
        <vertAlign val="subscript"/>
        <sz val="11"/>
        <color indexed="8"/>
        <rFont val="Arial Narrow"/>
        <family val="2"/>
        <charset val="238"/>
      </rPr>
      <t>tr</t>
    </r>
  </si>
  <si>
    <t>den         =</t>
  </si>
  <si>
    <t>minut</t>
  </si>
  <si>
    <t>předpokládaný čas osazení do konstrukce</t>
  </si>
  <si>
    <t>předpokládaná živostnost konstrukce</t>
  </si>
  <si>
    <r>
      <t>t</t>
    </r>
    <r>
      <rPr>
        <vertAlign val="subscript"/>
        <sz val="11"/>
        <color indexed="8"/>
        <rFont val="Arial"/>
        <family val="2"/>
        <charset val="238"/>
      </rPr>
      <t>∞</t>
    </r>
  </si>
  <si>
    <r>
      <t>t</t>
    </r>
    <r>
      <rPr>
        <vertAlign val="subscript"/>
        <sz val="11"/>
        <color indexed="8"/>
        <rFont val="Arial Narrow"/>
        <family val="2"/>
        <charset val="238"/>
      </rPr>
      <t>g+q</t>
    </r>
  </si>
  <si>
    <t>dní          =</t>
  </si>
  <si>
    <t>délka panelu</t>
  </si>
  <si>
    <t>L</t>
  </si>
  <si>
    <t>(5.45)</t>
  </si>
  <si>
    <t>uvažováno s hodnotou pokluzu výztuže 3,5mm</t>
  </si>
  <si>
    <t>u</t>
  </si>
  <si>
    <t>ztráta pokluzem</t>
  </si>
  <si>
    <t>ztráta třením</t>
  </si>
  <si>
    <t>modul pružnosti předpínací výztuže</t>
  </si>
  <si>
    <r>
      <t>E</t>
    </r>
    <r>
      <rPr>
        <vertAlign val="subscript"/>
        <sz val="11"/>
        <color indexed="8"/>
        <rFont val="Arial Narrow"/>
        <family val="2"/>
        <charset val="238"/>
      </rPr>
      <t>p</t>
    </r>
  </si>
  <si>
    <t>plocha betonového průřezu</t>
  </si>
  <si>
    <r>
      <t>A</t>
    </r>
    <r>
      <rPr>
        <vertAlign val="subscript"/>
        <sz val="11"/>
        <color indexed="8"/>
        <rFont val="Arial Narrow"/>
        <family val="2"/>
        <charset val="238"/>
      </rPr>
      <t>c</t>
    </r>
  </si>
  <si>
    <t>1. řada předpínacích vložek</t>
  </si>
  <si>
    <t>2. řada předpínacích vložek</t>
  </si>
  <si>
    <t>3. řada předpínacích vložek</t>
  </si>
  <si>
    <t>pevnostní třída předpínacích lan</t>
  </si>
  <si>
    <t>Y1770S7</t>
  </si>
  <si>
    <t>Y1860S7</t>
  </si>
  <si>
    <t>označ</t>
  </si>
  <si>
    <t>průměr</t>
  </si>
  <si>
    <t>počet</t>
  </si>
  <si>
    <t>plocha jednoho lana</t>
  </si>
  <si>
    <t>celková plocha v 1. řadě</t>
  </si>
  <si>
    <r>
      <t>A</t>
    </r>
    <r>
      <rPr>
        <vertAlign val="superscript"/>
        <sz val="11"/>
        <color indexed="8"/>
        <rFont val="Calibri"/>
        <family val="2"/>
        <charset val="238"/>
      </rPr>
      <t>1</t>
    </r>
    <r>
      <rPr>
        <vertAlign val="subscript"/>
        <sz val="11"/>
        <color indexed="8"/>
        <rFont val="Calibri"/>
        <family val="2"/>
        <charset val="238"/>
      </rPr>
      <t>p</t>
    </r>
  </si>
  <si>
    <r>
      <t>d</t>
    </r>
    <r>
      <rPr>
        <vertAlign val="superscript"/>
        <sz val="11"/>
        <color indexed="8"/>
        <rFont val="Arial Narrow"/>
        <family val="2"/>
        <charset val="238"/>
      </rPr>
      <t>1</t>
    </r>
    <r>
      <rPr>
        <vertAlign val="subscript"/>
        <sz val="11"/>
        <color indexed="8"/>
        <rFont val="Arial Narrow"/>
        <family val="2"/>
        <charset val="238"/>
      </rPr>
      <t>p</t>
    </r>
  </si>
  <si>
    <r>
      <t>m</t>
    </r>
    <r>
      <rPr>
        <vertAlign val="superscript"/>
        <sz val="11"/>
        <color indexed="8"/>
        <rFont val="Arial Narrow"/>
        <family val="2"/>
        <charset val="238"/>
      </rPr>
      <t>1</t>
    </r>
  </si>
  <si>
    <t>průměr předpínací výztuže v řadě 1</t>
  </si>
  <si>
    <t>průměr předpínací výztuže v řadě 2</t>
  </si>
  <si>
    <r>
      <t>d</t>
    </r>
    <r>
      <rPr>
        <vertAlign val="superscript"/>
        <sz val="11"/>
        <color indexed="8"/>
        <rFont val="Arial Narrow"/>
        <family val="2"/>
        <charset val="238"/>
      </rPr>
      <t>2</t>
    </r>
    <r>
      <rPr>
        <vertAlign val="subscript"/>
        <sz val="11"/>
        <color indexed="8"/>
        <rFont val="Arial Narrow"/>
        <family val="2"/>
        <charset val="238"/>
      </rPr>
      <t>p</t>
    </r>
  </si>
  <si>
    <r>
      <t>A</t>
    </r>
    <r>
      <rPr>
        <vertAlign val="superscript"/>
        <sz val="11"/>
        <color indexed="8"/>
        <rFont val="Calibri"/>
        <family val="2"/>
        <charset val="238"/>
      </rPr>
      <t>2</t>
    </r>
    <r>
      <rPr>
        <vertAlign val="subscript"/>
        <sz val="11"/>
        <color indexed="8"/>
        <rFont val="Calibri"/>
        <family val="2"/>
        <charset val="238"/>
      </rPr>
      <t>p</t>
    </r>
  </si>
  <si>
    <t>osová vzdálenost od dolního líce</t>
  </si>
  <si>
    <r>
      <t>d</t>
    </r>
    <r>
      <rPr>
        <vertAlign val="subscript"/>
        <sz val="11"/>
        <color indexed="8"/>
        <rFont val="Arial Narrow"/>
        <family val="2"/>
        <charset val="238"/>
      </rPr>
      <t>1</t>
    </r>
  </si>
  <si>
    <r>
      <t>d</t>
    </r>
    <r>
      <rPr>
        <vertAlign val="subscript"/>
        <sz val="11"/>
        <color indexed="8"/>
        <rFont val="Arial Narrow"/>
        <family val="2"/>
        <charset val="238"/>
      </rPr>
      <t>2</t>
    </r>
  </si>
  <si>
    <r>
      <t>d</t>
    </r>
    <r>
      <rPr>
        <vertAlign val="subscript"/>
        <sz val="11"/>
        <color indexed="8"/>
        <rFont val="Arial Narrow"/>
        <family val="2"/>
        <charset val="238"/>
      </rPr>
      <t>3</t>
    </r>
  </si>
  <si>
    <t>průměr předpínací výztuže v řadě 3</t>
  </si>
  <si>
    <t>horní i dolní předpjatá výztuž</t>
  </si>
  <si>
    <t>typ výztuže</t>
  </si>
  <si>
    <r>
      <t>A</t>
    </r>
    <r>
      <rPr>
        <vertAlign val="superscript"/>
        <sz val="11"/>
        <color indexed="8"/>
        <rFont val="Calibri"/>
        <family val="2"/>
        <charset val="238"/>
      </rPr>
      <t>1</t>
    </r>
    <r>
      <rPr>
        <vertAlign val="subscript"/>
        <sz val="11"/>
        <color indexed="8"/>
        <rFont val="Calibri"/>
        <family val="2"/>
        <charset val="238"/>
      </rPr>
      <t>p,celk</t>
    </r>
  </si>
  <si>
    <r>
      <t>A</t>
    </r>
    <r>
      <rPr>
        <vertAlign val="superscript"/>
        <sz val="11"/>
        <color indexed="8"/>
        <rFont val="Calibri"/>
        <family val="2"/>
        <charset val="238"/>
      </rPr>
      <t>3</t>
    </r>
    <r>
      <rPr>
        <vertAlign val="subscript"/>
        <sz val="11"/>
        <color indexed="8"/>
        <rFont val="Calibri"/>
        <family val="2"/>
        <charset val="238"/>
      </rPr>
      <t>p</t>
    </r>
  </si>
  <si>
    <r>
      <t>A</t>
    </r>
    <r>
      <rPr>
        <vertAlign val="superscript"/>
        <sz val="11"/>
        <color indexed="8"/>
        <rFont val="Calibri"/>
        <family val="2"/>
        <charset val="238"/>
      </rPr>
      <t>2</t>
    </r>
    <r>
      <rPr>
        <vertAlign val="subscript"/>
        <sz val="11"/>
        <color indexed="8"/>
        <rFont val="Calibri"/>
        <family val="2"/>
        <charset val="238"/>
      </rPr>
      <t>p,celk</t>
    </r>
  </si>
  <si>
    <r>
      <t>A</t>
    </r>
    <r>
      <rPr>
        <vertAlign val="superscript"/>
        <sz val="11"/>
        <color indexed="8"/>
        <rFont val="Calibri"/>
        <family val="2"/>
        <charset val="238"/>
      </rPr>
      <t>3</t>
    </r>
    <r>
      <rPr>
        <vertAlign val="subscript"/>
        <sz val="11"/>
        <color indexed="8"/>
        <rFont val="Calibri"/>
        <family val="2"/>
        <charset val="238"/>
      </rPr>
      <t>p,celk</t>
    </r>
  </si>
  <si>
    <r>
      <t>A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 xml:space="preserve"> = A</t>
    </r>
    <r>
      <rPr>
        <vertAlign val="superscript"/>
        <sz val="11"/>
        <color indexed="8"/>
        <rFont val="Arial Narrow"/>
        <family val="2"/>
        <charset val="238"/>
      </rPr>
      <t>1</t>
    </r>
    <r>
      <rPr>
        <vertAlign val="subscript"/>
        <sz val="11"/>
        <color indexed="8"/>
        <rFont val="Arial Narrow"/>
        <family val="2"/>
        <charset val="238"/>
      </rPr>
      <t xml:space="preserve">p,celk </t>
    </r>
    <r>
      <rPr>
        <sz val="11"/>
        <color indexed="8"/>
        <rFont val="Arial Narrow"/>
        <family val="2"/>
        <charset val="238"/>
      </rPr>
      <t>+ A</t>
    </r>
    <r>
      <rPr>
        <vertAlign val="superscript"/>
        <sz val="11"/>
        <color indexed="8"/>
        <rFont val="Arial Narrow"/>
        <family val="2"/>
        <charset val="238"/>
      </rPr>
      <t>2</t>
    </r>
    <r>
      <rPr>
        <vertAlign val="subscript"/>
        <sz val="11"/>
        <color indexed="8"/>
        <rFont val="Arial Narrow"/>
        <family val="2"/>
        <charset val="238"/>
      </rPr>
      <t xml:space="preserve">p,celk,d + </t>
    </r>
    <r>
      <rPr>
        <sz val="11"/>
        <color indexed="8"/>
        <rFont val="Arial Narrow"/>
        <family val="2"/>
        <charset val="238"/>
      </rPr>
      <t>A</t>
    </r>
    <r>
      <rPr>
        <vertAlign val="superscript"/>
        <sz val="11"/>
        <color indexed="8"/>
        <rFont val="Arial Narrow"/>
        <family val="2"/>
        <charset val="238"/>
      </rPr>
      <t>3</t>
    </r>
    <r>
      <rPr>
        <vertAlign val="subscript"/>
        <sz val="11"/>
        <color indexed="8"/>
        <rFont val="Arial Narrow"/>
        <family val="2"/>
        <charset val="238"/>
      </rPr>
      <t>p,celk,d</t>
    </r>
  </si>
  <si>
    <t>Průřezové charakteristiky</t>
  </si>
  <si>
    <t>betonový průřez</t>
  </si>
  <si>
    <r>
      <t>t</t>
    </r>
    <r>
      <rPr>
        <vertAlign val="subscript"/>
        <sz val="11"/>
        <color indexed="8"/>
        <rFont val="Arial Narrow"/>
        <family val="2"/>
        <charset val="238"/>
      </rPr>
      <t>y,c</t>
    </r>
  </si>
  <si>
    <r>
      <t>I</t>
    </r>
    <r>
      <rPr>
        <vertAlign val="subscript"/>
        <sz val="11"/>
        <color indexed="8"/>
        <rFont val="Arial Narrow"/>
        <family val="2"/>
        <charset val="238"/>
      </rPr>
      <t>y,c</t>
    </r>
  </si>
  <si>
    <t>těžiště předpínací výztuže (od dolní hrany)</t>
  </si>
  <si>
    <r>
      <t>t</t>
    </r>
    <r>
      <rPr>
        <vertAlign val="subscript"/>
        <sz val="11"/>
        <color indexed="8"/>
        <rFont val="Arial Narrow"/>
        <family val="2"/>
        <charset val="238"/>
      </rPr>
      <t>y,p</t>
    </r>
  </si>
  <si>
    <t>těžiště betonového průřezu (od dolní hrany)</t>
  </si>
  <si>
    <t>předpínací výztuž</t>
  </si>
  <si>
    <t>celková plocha lan</t>
  </si>
  <si>
    <t>pracovní součinitel</t>
  </si>
  <si>
    <t>w</t>
  </si>
  <si>
    <r>
      <t>w</t>
    </r>
    <r>
      <rPr>
        <sz val="12"/>
        <color indexed="8"/>
        <rFont val="Arial Narrow"/>
        <family val="2"/>
        <charset val="238"/>
      </rPr>
      <t xml:space="preserve"> </t>
    </r>
    <r>
      <rPr>
        <sz val="11"/>
        <color indexed="8"/>
        <rFont val="Arial Narrow"/>
        <family val="2"/>
        <charset val="238"/>
      </rPr>
      <t>= 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 xml:space="preserve"> / E</t>
    </r>
    <r>
      <rPr>
        <vertAlign val="subscript"/>
        <sz val="11"/>
        <color indexed="8"/>
        <rFont val="Arial Narrow"/>
        <family val="2"/>
        <charset val="238"/>
      </rPr>
      <t>cm</t>
    </r>
  </si>
  <si>
    <t>-</t>
  </si>
  <si>
    <t>ideální průřez</t>
  </si>
  <si>
    <t>vzdálenost těžiště id. průřezu od těžiště bet. pr.</t>
  </si>
  <si>
    <r>
      <t>t</t>
    </r>
    <r>
      <rPr>
        <vertAlign val="subscript"/>
        <sz val="11"/>
        <color indexed="8"/>
        <rFont val="Arial Narrow"/>
        <family val="2"/>
        <charset val="238"/>
      </rPr>
      <t>id</t>
    </r>
  </si>
  <si>
    <t>excentricita předpínacích lan od těžiště bet. pr.</t>
  </si>
  <si>
    <r>
      <t>e</t>
    </r>
    <r>
      <rPr>
        <vertAlign val="subscript"/>
        <sz val="11"/>
        <color indexed="8"/>
        <rFont val="Arial Narrow"/>
        <family val="2"/>
        <charset val="238"/>
      </rPr>
      <t>p</t>
    </r>
  </si>
  <si>
    <r>
      <t>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 xml:space="preserve"> = t</t>
    </r>
    <r>
      <rPr>
        <vertAlign val="subscript"/>
        <sz val="11"/>
        <color indexed="8"/>
        <rFont val="Arial Narrow"/>
        <family val="2"/>
        <charset val="238"/>
      </rPr>
      <t>y,c</t>
    </r>
    <r>
      <rPr>
        <sz val="11"/>
        <color indexed="8"/>
        <rFont val="Arial Narrow"/>
        <family val="2"/>
        <charset val="238"/>
      </rPr>
      <t xml:space="preserve"> - t</t>
    </r>
    <r>
      <rPr>
        <vertAlign val="subscript"/>
        <sz val="11"/>
        <color indexed="8"/>
        <rFont val="Arial Narrow"/>
        <family val="2"/>
        <charset val="238"/>
      </rPr>
      <t>y,p</t>
    </r>
  </si>
  <si>
    <r>
      <t>A</t>
    </r>
    <r>
      <rPr>
        <vertAlign val="subscript"/>
        <sz val="11"/>
        <color indexed="8"/>
        <rFont val="Arial Narrow"/>
        <family val="2"/>
        <charset val="238"/>
      </rPr>
      <t>id</t>
    </r>
    <r>
      <rPr>
        <sz val="11"/>
        <color indexed="8"/>
        <rFont val="Arial Narrow"/>
        <family val="2"/>
        <charset val="238"/>
      </rPr>
      <t xml:space="preserve"> = A</t>
    </r>
    <r>
      <rPr>
        <vertAlign val="subscript"/>
        <sz val="11"/>
        <color indexed="8"/>
        <rFont val="Arial Narrow"/>
        <family val="2"/>
        <charset val="238"/>
      </rPr>
      <t>c</t>
    </r>
    <r>
      <rPr>
        <sz val="11"/>
        <color indexed="8"/>
        <rFont val="Arial Narrow"/>
        <family val="2"/>
        <charset val="238"/>
      </rPr>
      <t xml:space="preserve"> + </t>
    </r>
    <r>
      <rPr>
        <sz val="12"/>
        <color indexed="8"/>
        <rFont val="Symbol"/>
        <family val="1"/>
        <charset val="2"/>
      </rPr>
      <t>w</t>
    </r>
    <r>
      <rPr>
        <sz val="11"/>
        <color indexed="8"/>
        <rFont val="Arial Narrow"/>
        <family val="2"/>
        <charset val="238"/>
      </rPr>
      <t xml:space="preserve"> * A</t>
    </r>
    <r>
      <rPr>
        <vertAlign val="subscript"/>
        <sz val="11"/>
        <color indexed="8"/>
        <rFont val="Arial Narrow"/>
        <family val="2"/>
        <charset val="238"/>
      </rPr>
      <t>p</t>
    </r>
  </si>
  <si>
    <t>excentricita předpínacích lan od těžiště id. pr.</t>
  </si>
  <si>
    <r>
      <t>e</t>
    </r>
    <r>
      <rPr>
        <vertAlign val="subscript"/>
        <sz val="11"/>
        <color indexed="8"/>
        <rFont val="Arial Narrow"/>
        <family val="2"/>
        <charset val="238"/>
      </rPr>
      <t>p,id</t>
    </r>
    <r>
      <rPr>
        <sz val="11"/>
        <color indexed="8"/>
        <rFont val="Arial Narrow"/>
        <family val="2"/>
        <charset val="238"/>
      </rPr>
      <t xml:space="preserve"> = 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 xml:space="preserve"> - t</t>
    </r>
    <r>
      <rPr>
        <vertAlign val="subscript"/>
        <sz val="11"/>
        <color indexed="8"/>
        <rFont val="Arial Narrow"/>
        <family val="2"/>
        <charset val="238"/>
      </rPr>
      <t>id</t>
    </r>
  </si>
  <si>
    <r>
      <t>e</t>
    </r>
    <r>
      <rPr>
        <vertAlign val="subscript"/>
        <sz val="11"/>
        <color indexed="8"/>
        <rFont val="Arial Narrow"/>
        <family val="2"/>
        <charset val="238"/>
      </rPr>
      <t>p,id</t>
    </r>
  </si>
  <si>
    <r>
      <t>z</t>
    </r>
    <r>
      <rPr>
        <vertAlign val="subscript"/>
        <sz val="11"/>
        <color indexed="8"/>
        <rFont val="Arial Narrow"/>
        <family val="2"/>
        <charset val="238"/>
      </rPr>
      <t>t,id</t>
    </r>
  </si>
  <si>
    <r>
      <t>z</t>
    </r>
    <r>
      <rPr>
        <vertAlign val="subscript"/>
        <sz val="11"/>
        <color indexed="8"/>
        <rFont val="Arial Narrow"/>
        <family val="2"/>
        <charset val="238"/>
      </rPr>
      <t>t,id</t>
    </r>
    <r>
      <rPr>
        <sz val="11"/>
        <color indexed="8"/>
        <rFont val="Arial Narrow"/>
        <family val="2"/>
        <charset val="238"/>
      </rPr>
      <t xml:space="preserve"> = t</t>
    </r>
    <r>
      <rPr>
        <vertAlign val="subscript"/>
        <sz val="11"/>
        <color indexed="8"/>
        <rFont val="Arial Narrow"/>
        <family val="2"/>
        <charset val="238"/>
      </rPr>
      <t>y,c</t>
    </r>
    <r>
      <rPr>
        <sz val="11"/>
        <color indexed="8"/>
        <rFont val="Arial Narrow"/>
        <family val="2"/>
        <charset val="238"/>
      </rPr>
      <t xml:space="preserve"> - t</t>
    </r>
    <r>
      <rPr>
        <vertAlign val="subscript"/>
        <sz val="11"/>
        <color indexed="8"/>
        <rFont val="Arial Narrow"/>
        <family val="2"/>
        <charset val="238"/>
      </rPr>
      <t>y,id</t>
    </r>
  </si>
  <si>
    <t>vzdálenost těžiště IP od dolní hrany průřezu</t>
  </si>
  <si>
    <r>
      <t>z</t>
    </r>
    <r>
      <rPr>
        <vertAlign val="subscript"/>
        <sz val="11"/>
        <color indexed="8"/>
        <rFont val="Arial Narrow"/>
        <family val="2"/>
        <charset val="238"/>
      </rPr>
      <t>c,id</t>
    </r>
  </si>
  <si>
    <t>vzdálenost těžiště IP od horní hrany průřezu</t>
  </si>
  <si>
    <r>
      <t>z</t>
    </r>
    <r>
      <rPr>
        <vertAlign val="subscript"/>
        <sz val="11"/>
        <color indexed="8"/>
        <rFont val="Arial Narrow"/>
        <family val="2"/>
        <charset val="238"/>
      </rPr>
      <t>c,id</t>
    </r>
    <r>
      <rPr>
        <sz val="11"/>
        <color indexed="8"/>
        <rFont val="Arial Narrow"/>
        <family val="2"/>
        <charset val="238"/>
      </rPr>
      <t xml:space="preserve"> = (h - t</t>
    </r>
    <r>
      <rPr>
        <vertAlign val="subscript"/>
        <sz val="11"/>
        <color indexed="8"/>
        <rFont val="Arial Narrow"/>
        <family val="2"/>
        <charset val="238"/>
      </rPr>
      <t>y,c</t>
    </r>
    <r>
      <rPr>
        <sz val="11"/>
        <color indexed="8"/>
        <rFont val="Arial Narrow"/>
        <family val="2"/>
        <charset val="238"/>
      </rPr>
      <t xml:space="preserve"> ) + t</t>
    </r>
    <r>
      <rPr>
        <vertAlign val="subscript"/>
        <sz val="11"/>
        <color indexed="8"/>
        <rFont val="Arial Narrow"/>
        <family val="2"/>
        <charset val="238"/>
      </rPr>
      <t>y,id</t>
    </r>
  </si>
  <si>
    <r>
      <t>I</t>
    </r>
    <r>
      <rPr>
        <vertAlign val="subscript"/>
        <sz val="11"/>
        <color indexed="8"/>
        <rFont val="Arial Narrow"/>
        <family val="2"/>
        <charset val="238"/>
      </rPr>
      <t>y,id</t>
    </r>
    <r>
      <rPr>
        <sz val="11"/>
        <color indexed="8"/>
        <rFont val="Arial Narrow"/>
        <family val="2"/>
        <charset val="238"/>
      </rPr>
      <t xml:space="preserve"> = I</t>
    </r>
    <r>
      <rPr>
        <vertAlign val="subscript"/>
        <sz val="11"/>
        <color indexed="8"/>
        <rFont val="Arial Narrow"/>
        <family val="2"/>
        <charset val="238"/>
      </rPr>
      <t>y,c</t>
    </r>
    <r>
      <rPr>
        <sz val="11"/>
        <color indexed="8"/>
        <rFont val="Arial Narrow"/>
        <family val="2"/>
        <charset val="238"/>
      </rPr>
      <t xml:space="preserve"> + A</t>
    </r>
    <r>
      <rPr>
        <vertAlign val="subscript"/>
        <sz val="11"/>
        <color indexed="8"/>
        <rFont val="Arial Narrow"/>
        <family val="2"/>
        <charset val="238"/>
      </rPr>
      <t>c</t>
    </r>
    <r>
      <rPr>
        <sz val="11"/>
        <color indexed="8"/>
        <rFont val="Arial Narrow"/>
        <family val="2"/>
        <charset val="238"/>
      </rPr>
      <t xml:space="preserve"> *t</t>
    </r>
    <r>
      <rPr>
        <vertAlign val="subscript"/>
        <sz val="11"/>
        <color indexed="8"/>
        <rFont val="Arial Narrow"/>
        <family val="2"/>
        <charset val="238"/>
      </rPr>
      <t>id</t>
    </r>
    <r>
      <rPr>
        <vertAlign val="superscript"/>
        <sz val="11"/>
        <color indexed="8"/>
        <rFont val="Arial Narrow"/>
        <family val="2"/>
        <charset val="238"/>
      </rPr>
      <t>2</t>
    </r>
    <r>
      <rPr>
        <sz val="11"/>
        <color indexed="8"/>
        <rFont val="Arial Narrow"/>
        <family val="2"/>
        <charset val="238"/>
      </rPr>
      <t xml:space="preserve"> + </t>
    </r>
    <r>
      <rPr>
        <sz val="12"/>
        <color indexed="8"/>
        <rFont val="Symbol"/>
        <family val="1"/>
        <charset val="2"/>
      </rPr>
      <t>w</t>
    </r>
    <r>
      <rPr>
        <sz val="11"/>
        <color indexed="8"/>
        <rFont val="Arial Narrow"/>
        <family val="2"/>
        <charset val="238"/>
      </rPr>
      <t>*A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>*e</t>
    </r>
    <r>
      <rPr>
        <vertAlign val="subscript"/>
        <sz val="11"/>
        <color indexed="8"/>
        <rFont val="Arial Narrow"/>
        <family val="2"/>
        <charset val="238"/>
      </rPr>
      <t>p,id</t>
    </r>
    <r>
      <rPr>
        <vertAlign val="superscript"/>
        <sz val="11"/>
        <color indexed="8"/>
        <rFont val="Arial Narrow"/>
        <family val="2"/>
        <charset val="238"/>
      </rPr>
      <t>2</t>
    </r>
  </si>
  <si>
    <r>
      <t>t</t>
    </r>
    <r>
      <rPr>
        <vertAlign val="subscript"/>
        <sz val="11"/>
        <color indexed="8"/>
        <rFont val="Arial Narrow"/>
        <family val="2"/>
        <charset val="238"/>
      </rPr>
      <t>id</t>
    </r>
    <r>
      <rPr>
        <sz val="11"/>
        <color indexed="8"/>
        <rFont val="Arial Narrow"/>
        <family val="2"/>
        <charset val="238"/>
      </rPr>
      <t xml:space="preserve"> = (</t>
    </r>
    <r>
      <rPr>
        <sz val="12"/>
        <color indexed="8"/>
        <rFont val="Symbol"/>
        <family val="1"/>
        <charset val="2"/>
      </rPr>
      <t>w</t>
    </r>
    <r>
      <rPr>
        <sz val="11"/>
        <color indexed="8"/>
        <rFont val="Arial Narrow"/>
        <family val="2"/>
        <charset val="238"/>
      </rPr>
      <t>*A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 xml:space="preserve"> *e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>) / A</t>
    </r>
    <r>
      <rPr>
        <vertAlign val="subscript"/>
        <sz val="11"/>
        <color indexed="8"/>
        <rFont val="Arial Narrow"/>
        <family val="2"/>
        <charset val="238"/>
      </rPr>
      <t>id</t>
    </r>
  </si>
  <si>
    <t>pro tento typ prvku nenastává</t>
  </si>
  <si>
    <t>uvažováno se změnou vzdálenosti podpor 5 mm</t>
  </si>
  <si>
    <t>počet lan</t>
  </si>
  <si>
    <t>ztráta pružným přetvořením opěrného zařízení</t>
  </si>
  <si>
    <r>
      <rPr>
        <b/>
        <sz val="11"/>
        <color indexed="8"/>
        <rFont val="Symbol"/>
        <family val="1"/>
        <charset val="2"/>
      </rPr>
      <t>D</t>
    </r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p,11</t>
    </r>
  </si>
  <si>
    <r>
      <rPr>
        <b/>
        <sz val="11"/>
        <color indexed="8"/>
        <rFont val="Symbol"/>
        <family val="1"/>
        <charset val="2"/>
      </rPr>
      <t>D</t>
    </r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p,12</t>
    </r>
  </si>
  <si>
    <r>
      <rPr>
        <b/>
        <sz val="11"/>
        <color indexed="8"/>
        <rFont val="Symbol"/>
        <family val="1"/>
        <charset val="2"/>
      </rPr>
      <t>D</t>
    </r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p,13</t>
    </r>
  </si>
  <si>
    <r>
      <rPr>
        <b/>
        <sz val="11"/>
        <color indexed="8"/>
        <rFont val="Symbol"/>
        <family val="1"/>
        <charset val="2"/>
      </rPr>
      <t>D</t>
    </r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p,14</t>
    </r>
  </si>
  <si>
    <r>
      <rPr>
        <b/>
        <sz val="11"/>
        <color indexed="8"/>
        <rFont val="Symbol"/>
        <family val="1"/>
        <charset val="2"/>
      </rPr>
      <t>D</t>
    </r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p,15</t>
    </r>
  </si>
  <si>
    <t>ztráta stlačením spár</t>
  </si>
  <si>
    <r>
      <rPr>
        <b/>
        <sz val="11"/>
        <color indexed="8"/>
        <rFont val="Symbol"/>
        <family val="1"/>
        <charset val="2"/>
      </rPr>
      <t>D</t>
    </r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p,16</t>
    </r>
  </si>
  <si>
    <t>aktuální napětí ve výztuži</t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</si>
  <si>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p,i</t>
    </r>
  </si>
  <si>
    <t>neuvažuje se s korekcí podržením napětí</t>
  </si>
  <si>
    <r>
      <t>t</t>
    </r>
    <r>
      <rPr>
        <vertAlign val="subscript"/>
        <sz val="11"/>
        <color indexed="8"/>
        <rFont val="Arial Narrow"/>
        <family val="2"/>
        <charset val="238"/>
      </rPr>
      <t>cor</t>
    </r>
  </si>
  <si>
    <t>min</t>
  </si>
  <si>
    <t>% hodnota ztráty relexací za 1000h po napnutí (při 20°C)</t>
  </si>
  <si>
    <r>
      <rPr>
        <sz val="12"/>
        <color indexed="8"/>
        <rFont val="Symbol"/>
        <family val="1"/>
        <charset val="2"/>
      </rPr>
      <t>r</t>
    </r>
    <r>
      <rPr>
        <vertAlign val="subscript"/>
        <sz val="11"/>
        <color indexed="8"/>
        <rFont val="Arial Narrow"/>
        <family val="2"/>
        <charset val="238"/>
      </rPr>
      <t>1000</t>
    </r>
  </si>
  <si>
    <t>%</t>
  </si>
  <si>
    <r>
      <t>m</t>
    </r>
    <r>
      <rPr>
        <sz val="12"/>
        <color indexed="8"/>
        <rFont val="Arial Narrow"/>
        <family val="2"/>
        <charset val="238"/>
      </rPr>
      <t xml:space="preserve"> = </t>
    </r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p,i</t>
    </r>
    <r>
      <rPr>
        <sz val="11"/>
        <color indexed="8"/>
        <rFont val="Arial Narrow"/>
        <family val="2"/>
        <charset val="238"/>
      </rPr>
      <t xml:space="preserve"> / f</t>
    </r>
    <r>
      <rPr>
        <vertAlign val="subscript"/>
        <sz val="11"/>
        <color indexed="8"/>
        <rFont val="Arial Narrow"/>
        <family val="2"/>
        <charset val="238"/>
      </rPr>
      <t>pk</t>
    </r>
  </si>
  <si>
    <t>ztráta relaxací výztuže</t>
  </si>
  <si>
    <r>
      <rPr>
        <b/>
        <sz val="11"/>
        <color indexed="8"/>
        <rFont val="Symbol"/>
        <family val="1"/>
        <charset val="2"/>
      </rPr>
      <t>D</t>
    </r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p,17</t>
    </r>
  </si>
  <si>
    <t>(3.29)</t>
  </si>
  <si>
    <t>třída relaxace</t>
  </si>
  <si>
    <t>čas relaxace (do transferu napětí do prvku)</t>
  </si>
  <si>
    <t>hodin</t>
  </si>
  <si>
    <t>teplota opěrného zařízení</t>
  </si>
  <si>
    <t>teplota předpínací výztuže</t>
  </si>
  <si>
    <t>základní teplota</t>
  </si>
  <si>
    <t>součinitel teplotní roztažnosti výztuže</t>
  </si>
  <si>
    <r>
      <rPr>
        <sz val="12"/>
        <color indexed="8"/>
        <rFont val="Symbol"/>
        <family val="1"/>
        <charset val="2"/>
      </rPr>
      <t>a</t>
    </r>
    <r>
      <rPr>
        <vertAlign val="subscript"/>
        <sz val="11"/>
        <color indexed="8"/>
        <rFont val="Arial Narrow"/>
        <family val="2"/>
        <charset val="238"/>
      </rPr>
      <t>p</t>
    </r>
  </si>
  <si>
    <t>délka opěrného zařízení</t>
  </si>
  <si>
    <t>délka předpínací výztuže</t>
  </si>
  <si>
    <r>
      <t>L</t>
    </r>
    <r>
      <rPr>
        <vertAlign val="subscript"/>
        <sz val="11"/>
        <color indexed="8"/>
        <rFont val="Arial Narrow"/>
        <family val="2"/>
        <charset val="238"/>
      </rPr>
      <t>k</t>
    </r>
  </si>
  <si>
    <r>
      <rPr>
        <sz val="12"/>
        <color indexed="8"/>
        <rFont val="Symbol"/>
        <family val="1"/>
        <charset val="2"/>
      </rPr>
      <t>D</t>
    </r>
    <r>
      <rPr>
        <sz val="11"/>
        <color indexed="8"/>
        <rFont val="Arial Narrow"/>
        <family val="2"/>
        <charset val="238"/>
      </rPr>
      <t>L</t>
    </r>
    <r>
      <rPr>
        <vertAlign val="subscript"/>
        <sz val="11"/>
        <color indexed="8"/>
        <rFont val="Arial Narrow"/>
        <family val="2"/>
        <charset val="238"/>
      </rPr>
      <t>k</t>
    </r>
  </si>
  <si>
    <r>
      <rPr>
        <sz val="11"/>
        <color indexed="8"/>
        <rFont val="Symbol"/>
        <family val="1"/>
        <charset val="2"/>
      </rPr>
      <t>D</t>
    </r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p,12</t>
    </r>
    <r>
      <rPr>
        <sz val="11"/>
        <color indexed="8"/>
        <rFont val="Arial Narrow"/>
        <family val="2"/>
        <charset val="238"/>
      </rPr>
      <t xml:space="preserve"> = - 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 xml:space="preserve"> * u /L</t>
    </r>
    <r>
      <rPr>
        <vertAlign val="subscript"/>
        <sz val="11"/>
        <color indexed="8"/>
        <rFont val="Arial Narrow"/>
        <family val="2"/>
        <charset val="238"/>
      </rPr>
      <t>k</t>
    </r>
  </si>
  <si>
    <r>
      <t>K</t>
    </r>
    <r>
      <rPr>
        <vertAlign val="superscript"/>
        <sz val="11"/>
        <color indexed="8"/>
        <rFont val="Arial Narrow"/>
        <family val="2"/>
        <charset val="238"/>
      </rPr>
      <t>-1</t>
    </r>
  </si>
  <si>
    <r>
      <t>T</t>
    </r>
    <r>
      <rPr>
        <vertAlign val="subscript"/>
        <sz val="11"/>
        <color indexed="8"/>
        <rFont val="Arial Narrow"/>
        <family val="2"/>
        <charset val="238"/>
      </rPr>
      <t>0</t>
    </r>
  </si>
  <si>
    <t>°C</t>
  </si>
  <si>
    <r>
      <t>T</t>
    </r>
    <r>
      <rPr>
        <vertAlign val="subscript"/>
        <sz val="11"/>
        <color indexed="8"/>
        <rFont val="Arial Narrow"/>
        <family val="2"/>
        <charset val="238"/>
      </rPr>
      <t>p</t>
    </r>
  </si>
  <si>
    <r>
      <t>T</t>
    </r>
    <r>
      <rPr>
        <vertAlign val="subscript"/>
        <sz val="11"/>
        <color indexed="8"/>
        <rFont val="Arial Narrow"/>
        <family val="2"/>
        <charset val="238"/>
      </rPr>
      <t>k</t>
    </r>
  </si>
  <si>
    <t>ztráta způsobená rozdílem teplot výztuže a formy</t>
  </si>
  <si>
    <t>součinitel teplotní roztažnosti opěrného zařízení</t>
  </si>
  <si>
    <r>
      <rPr>
        <sz val="12"/>
        <color indexed="8"/>
        <rFont val="Symbol"/>
        <family val="1"/>
        <charset val="2"/>
      </rPr>
      <t>a</t>
    </r>
    <r>
      <rPr>
        <vertAlign val="subscript"/>
        <sz val="11"/>
        <color indexed="8"/>
        <rFont val="Arial Narrow"/>
        <family val="2"/>
        <charset val="238"/>
      </rPr>
      <t>k</t>
    </r>
  </si>
  <si>
    <r>
      <rPr>
        <b/>
        <sz val="11"/>
        <color indexed="8"/>
        <rFont val="Symbol"/>
        <family val="1"/>
        <charset val="2"/>
      </rPr>
      <t>D</t>
    </r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p,18</t>
    </r>
  </si>
  <si>
    <t>napětí ve výztuži těsně před vnesením předpětí do betonu</t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</si>
  <si>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</t>
    </r>
  </si>
  <si>
    <t>n</t>
  </si>
  <si>
    <t>y</t>
  </si>
  <si>
    <t>(3.5)</t>
  </si>
  <si>
    <t>součinitel závisící na stáří betonu</t>
  </si>
  <si>
    <t>S</t>
  </si>
  <si>
    <t>(3.1.2, čl (6))</t>
  </si>
  <si>
    <t>(3.2)</t>
  </si>
  <si>
    <r>
      <t>f</t>
    </r>
    <r>
      <rPr>
        <vertAlign val="subscript"/>
        <sz val="10"/>
        <rFont val="Arial Narrow"/>
        <family val="2"/>
        <charset val="238"/>
      </rPr>
      <t>cm</t>
    </r>
  </si>
  <si>
    <t>ztráta okamžitým pružným přetvořením betonu</t>
  </si>
  <si>
    <r>
      <rPr>
        <b/>
        <sz val="11"/>
        <color indexed="8"/>
        <rFont val="Symbol"/>
        <family val="1"/>
        <charset val="2"/>
      </rPr>
      <t>D</t>
    </r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p,19</t>
    </r>
  </si>
  <si>
    <t>změna předpětí účinkem vlastní tíhy panelu</t>
  </si>
  <si>
    <r>
      <rPr>
        <sz val="11"/>
        <color indexed="8"/>
        <rFont val="Symbol"/>
        <family val="1"/>
        <charset val="2"/>
      </rPr>
      <t>D</t>
    </r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p,19a</t>
    </r>
  </si>
  <si>
    <r>
      <rPr>
        <sz val="11"/>
        <color indexed="8"/>
        <rFont val="Symbol"/>
        <family val="1"/>
        <charset val="2"/>
      </rPr>
      <t>D</t>
    </r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p,19b</t>
    </r>
  </si>
  <si>
    <r>
      <t>M</t>
    </r>
    <r>
      <rPr>
        <vertAlign val="subscript"/>
        <sz val="11"/>
        <color indexed="8"/>
        <rFont val="Arial Narrow"/>
        <family val="2"/>
        <charset val="238"/>
      </rPr>
      <t>e,0k</t>
    </r>
  </si>
  <si>
    <t>kNm</t>
  </si>
  <si>
    <t>ztráta okamžitým pružným přetvořením betonu + vliv vlastní tíhy prvku</t>
  </si>
  <si>
    <t>(5.10.3, čl(2))</t>
  </si>
  <si>
    <t>(5.43)</t>
  </si>
  <si>
    <t>maximální napětí v průběhu předpínání</t>
  </si>
  <si>
    <t>maximální napětí v čase transferu</t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</si>
  <si>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pmax</t>
    </r>
    <r>
      <rPr>
        <sz val="11"/>
        <color indexed="8"/>
        <rFont val="Arial Narrow"/>
        <family val="2"/>
        <charset val="238"/>
      </rPr>
      <t xml:space="preserve"> = min {0,8 * f</t>
    </r>
    <r>
      <rPr>
        <vertAlign val="subscript"/>
        <sz val="11"/>
        <color indexed="8"/>
        <rFont val="Arial Narrow"/>
        <family val="2"/>
        <charset val="238"/>
      </rPr>
      <t>pk</t>
    </r>
    <r>
      <rPr>
        <sz val="11"/>
        <color indexed="8"/>
        <rFont val="Arial Narrow"/>
        <family val="2"/>
        <charset val="238"/>
      </rPr>
      <t>; 0,9 * f</t>
    </r>
    <r>
      <rPr>
        <vertAlign val="subscript"/>
        <sz val="11"/>
        <color indexed="8"/>
        <rFont val="Arial Narrow"/>
        <family val="2"/>
        <charset val="238"/>
      </rPr>
      <t>p0,1k</t>
    </r>
    <r>
      <rPr>
        <sz val="11"/>
        <color indexed="8"/>
        <rFont val="Arial Narrow"/>
        <family val="2"/>
        <charset val="238"/>
      </rPr>
      <t>}</t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</si>
  <si>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pmax</t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</si>
  <si>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pm0</t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</si>
  <si>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pm0</t>
    </r>
    <r>
      <rPr>
        <sz val="11"/>
        <color indexed="8"/>
        <rFont val="Arial Narrow"/>
        <family val="2"/>
        <charset val="238"/>
      </rPr>
      <t xml:space="preserve"> = min {0,75 * f</t>
    </r>
    <r>
      <rPr>
        <vertAlign val="subscript"/>
        <sz val="11"/>
        <color indexed="8"/>
        <rFont val="Arial Narrow"/>
        <family val="2"/>
        <charset val="238"/>
      </rPr>
      <t>pk</t>
    </r>
    <r>
      <rPr>
        <sz val="11"/>
        <color indexed="8"/>
        <rFont val="Arial Narrow"/>
        <family val="2"/>
        <charset val="238"/>
      </rPr>
      <t>; 0,85 * f</t>
    </r>
    <r>
      <rPr>
        <vertAlign val="subscript"/>
        <sz val="11"/>
        <color indexed="8"/>
        <rFont val="Arial Narrow"/>
        <family val="2"/>
        <charset val="238"/>
      </rPr>
      <t>p0,1k</t>
    </r>
    <r>
      <rPr>
        <sz val="11"/>
        <color indexed="8"/>
        <rFont val="Arial Narrow"/>
        <family val="2"/>
        <charset val="238"/>
      </rPr>
      <t>}</t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</si>
  <si>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p,tr</t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</si>
  <si>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pmax</t>
    </r>
    <r>
      <rPr>
        <sz val="11"/>
        <color indexed="8"/>
        <rFont val="Arial Narrow"/>
        <family val="2"/>
        <charset val="238"/>
      </rPr>
      <t xml:space="preserve"> = min {0,80 * f</t>
    </r>
    <r>
      <rPr>
        <vertAlign val="subscript"/>
        <sz val="11"/>
        <color indexed="8"/>
        <rFont val="Arial Narrow"/>
        <family val="2"/>
        <charset val="238"/>
      </rPr>
      <t>pk</t>
    </r>
    <r>
      <rPr>
        <sz val="11"/>
        <color indexed="8"/>
        <rFont val="Arial Narrow"/>
        <family val="2"/>
        <charset val="238"/>
      </rPr>
      <t>; 0,90 * f</t>
    </r>
    <r>
      <rPr>
        <vertAlign val="subscript"/>
        <sz val="11"/>
        <color indexed="8"/>
        <rFont val="Arial Narrow"/>
        <family val="2"/>
        <charset val="238"/>
      </rPr>
      <t>p0,1k</t>
    </r>
    <r>
      <rPr>
        <sz val="11"/>
        <color indexed="8"/>
        <rFont val="Arial Narrow"/>
        <family val="2"/>
        <charset val="238"/>
      </rPr>
      <t>}</t>
    </r>
  </si>
  <si>
    <r>
      <rPr>
        <sz val="12"/>
        <color indexed="8"/>
        <rFont val="Symbol"/>
        <family val="1"/>
        <charset val="2"/>
      </rPr>
      <t>h</t>
    </r>
    <r>
      <rPr>
        <vertAlign val="subscript"/>
        <sz val="11"/>
        <color indexed="8"/>
        <rFont val="Arial Narrow"/>
        <family val="2"/>
        <charset val="238"/>
      </rPr>
      <t>p1</t>
    </r>
  </si>
  <si>
    <t>součinitel zohledňující  podmínky v soudržnosti</t>
  </si>
  <si>
    <r>
      <rPr>
        <sz val="12"/>
        <color indexed="8"/>
        <rFont val="Symbol"/>
        <family val="1"/>
        <charset val="2"/>
      </rPr>
      <t>h</t>
    </r>
    <r>
      <rPr>
        <vertAlign val="subscript"/>
        <sz val="11"/>
        <color indexed="8"/>
        <rFont val="Arial Narrow"/>
        <family val="2"/>
        <charset val="238"/>
      </rPr>
      <t>1</t>
    </r>
  </si>
  <si>
    <t>(8.10.2.2, čl(1))</t>
  </si>
  <si>
    <t>charakteristická pevnost betonu v tahu v čase transferu</t>
  </si>
  <si>
    <t>Střední pevnost v tlaku</t>
  </si>
  <si>
    <r>
      <t>f</t>
    </r>
    <r>
      <rPr>
        <vertAlign val="subscript"/>
        <sz val="10"/>
        <rFont val="Arial Narrow"/>
        <family val="2"/>
        <charset val="238"/>
      </rPr>
      <t>ctm</t>
    </r>
  </si>
  <si>
    <t>Střední pevnost v tahu</t>
  </si>
  <si>
    <r>
      <t>E</t>
    </r>
    <r>
      <rPr>
        <vertAlign val="subscript"/>
        <sz val="11"/>
        <color indexed="8"/>
        <rFont val="Arial Narrow"/>
        <family val="2"/>
        <charset val="238"/>
      </rPr>
      <t>cm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tr</t>
    </r>
    <r>
      <rPr>
        <sz val="11"/>
        <color indexed="8"/>
        <rFont val="Arial Narrow"/>
        <family val="2"/>
        <charset val="238"/>
      </rPr>
      <t>)</t>
    </r>
  </si>
  <si>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>cc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tr</t>
    </r>
    <r>
      <rPr>
        <sz val="11"/>
        <color indexed="8"/>
        <rFont val="Arial Narrow"/>
        <family val="2"/>
        <charset val="238"/>
      </rPr>
      <t>)</t>
    </r>
  </si>
  <si>
    <r>
      <t>E</t>
    </r>
    <r>
      <rPr>
        <vertAlign val="subscript"/>
        <sz val="11"/>
        <color indexed="8"/>
        <rFont val="Arial Narrow"/>
        <family val="2"/>
        <charset val="238"/>
      </rPr>
      <t>cm</t>
    </r>
    <r>
      <rPr>
        <sz val="11"/>
        <color indexed="8"/>
        <rFont val="Arial Narrow"/>
        <family val="2"/>
        <charset val="238"/>
      </rPr>
      <t>(t) = ((</t>
    </r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>cc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tr</t>
    </r>
    <r>
      <rPr>
        <sz val="11"/>
        <color indexed="8"/>
        <rFont val="Arial Narrow"/>
        <family val="2"/>
        <charset val="238"/>
      </rPr>
      <t>) * f</t>
    </r>
    <r>
      <rPr>
        <vertAlign val="subscript"/>
        <sz val="11"/>
        <color indexed="8"/>
        <rFont val="Arial Narrow"/>
        <family val="2"/>
        <charset val="238"/>
      </rPr>
      <t>cm</t>
    </r>
    <r>
      <rPr>
        <sz val="11"/>
        <color indexed="8"/>
        <rFont val="Arial Narrow"/>
        <family val="2"/>
        <charset val="238"/>
      </rPr>
      <t>) / f</t>
    </r>
    <r>
      <rPr>
        <vertAlign val="subscript"/>
        <sz val="11"/>
        <color indexed="8"/>
        <rFont val="Arial Narrow"/>
        <family val="2"/>
        <charset val="238"/>
      </rPr>
      <t>cm</t>
    </r>
    <r>
      <rPr>
        <sz val="11"/>
        <color indexed="8"/>
        <rFont val="Arial Narrow"/>
        <family val="2"/>
        <charset val="238"/>
      </rPr>
      <t>)</t>
    </r>
    <r>
      <rPr>
        <vertAlign val="superscript"/>
        <sz val="11"/>
        <color indexed="8"/>
        <rFont val="Arial Narrow"/>
        <family val="2"/>
        <charset val="238"/>
      </rPr>
      <t>0,3</t>
    </r>
    <r>
      <rPr>
        <sz val="11"/>
        <color indexed="8"/>
        <rFont val="Arial Narrow"/>
        <family val="2"/>
        <charset val="238"/>
      </rPr>
      <t xml:space="preserve"> * E</t>
    </r>
    <r>
      <rPr>
        <vertAlign val="subscript"/>
        <sz val="11"/>
        <color indexed="8"/>
        <rFont val="Arial Narrow"/>
        <family val="2"/>
        <charset val="238"/>
      </rPr>
      <t>cm</t>
    </r>
  </si>
  <si>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>cc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tr</t>
    </r>
    <r>
      <rPr>
        <sz val="11"/>
        <color indexed="8"/>
        <rFont val="Arial Narrow"/>
        <family val="2"/>
        <charset val="238"/>
      </rPr>
      <t>) = exp (S (1 - (28 / t)</t>
    </r>
    <r>
      <rPr>
        <vertAlign val="superscript"/>
        <sz val="11"/>
        <color indexed="8"/>
        <rFont val="Arial Narrow"/>
        <family val="2"/>
        <charset val="238"/>
      </rPr>
      <t>0,5</t>
    </r>
    <r>
      <rPr>
        <sz val="11"/>
        <color indexed="8"/>
        <rFont val="Arial Narrow"/>
        <family val="2"/>
        <charset val="238"/>
      </rPr>
      <t>))</t>
    </r>
  </si>
  <si>
    <t>Koeficient závisící na třídě cementu</t>
  </si>
  <si>
    <t>modul pružnosti v čase transferu</t>
  </si>
  <si>
    <t>výpočtová pevnost betonu v tahu v čase transferu</t>
  </si>
  <si>
    <r>
      <t>f</t>
    </r>
    <r>
      <rPr>
        <vertAlign val="subscript"/>
        <sz val="11"/>
        <color indexed="8"/>
        <rFont val="Arial Narrow"/>
        <family val="2"/>
        <charset val="238"/>
      </rPr>
      <t>ctd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tr</t>
    </r>
    <r>
      <rPr>
        <sz val="11"/>
        <color indexed="8"/>
        <rFont val="Arial Narrow"/>
        <family val="2"/>
        <charset val="238"/>
      </rPr>
      <t>)</t>
    </r>
  </si>
  <si>
    <r>
      <t>f</t>
    </r>
    <r>
      <rPr>
        <vertAlign val="subscript"/>
        <sz val="11"/>
        <color indexed="8"/>
        <rFont val="Arial Narrow"/>
        <family val="2"/>
        <charset val="238"/>
      </rPr>
      <t>ctm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tr</t>
    </r>
    <r>
      <rPr>
        <sz val="11"/>
        <color indexed="8"/>
        <rFont val="Arial Narrow"/>
        <family val="2"/>
        <charset val="238"/>
      </rPr>
      <t>)</t>
    </r>
  </si>
  <si>
    <r>
      <t>f</t>
    </r>
    <r>
      <rPr>
        <vertAlign val="subscript"/>
        <sz val="11"/>
        <color indexed="8"/>
        <rFont val="Arial Narrow"/>
        <family val="2"/>
        <charset val="238"/>
      </rPr>
      <t>ctm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tr</t>
    </r>
    <r>
      <rPr>
        <sz val="11"/>
        <color indexed="8"/>
        <rFont val="Arial Narrow"/>
        <family val="2"/>
        <charset val="238"/>
      </rPr>
      <t>) = (</t>
    </r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>cc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tr</t>
    </r>
    <r>
      <rPr>
        <sz val="11"/>
        <color indexed="8"/>
        <rFont val="Arial Narrow"/>
        <family val="2"/>
        <charset val="238"/>
      </rPr>
      <t>))</t>
    </r>
    <r>
      <rPr>
        <vertAlign val="superscript"/>
        <sz val="11"/>
        <color indexed="8"/>
        <rFont val="Symbol"/>
        <family val="1"/>
        <charset val="2"/>
      </rPr>
      <t>a</t>
    </r>
    <r>
      <rPr>
        <sz val="11"/>
        <color indexed="8"/>
        <rFont val="Arial Narrow"/>
        <family val="2"/>
        <charset val="238"/>
      </rPr>
      <t xml:space="preserve"> * f</t>
    </r>
    <r>
      <rPr>
        <vertAlign val="subscript"/>
        <sz val="11"/>
        <color indexed="8"/>
        <rFont val="Arial Narrow"/>
        <family val="2"/>
        <charset val="238"/>
      </rPr>
      <t>ctm</t>
    </r>
  </si>
  <si>
    <t>(3.4)</t>
  </si>
  <si>
    <t>den</t>
  </si>
  <si>
    <t>Materiálové charakteristiky betonu závislé na čase</t>
  </si>
  <si>
    <r>
      <t>f</t>
    </r>
    <r>
      <rPr>
        <vertAlign val="subscript"/>
        <sz val="11"/>
        <color indexed="8"/>
        <rFont val="Arial Narrow"/>
        <family val="2"/>
        <charset val="238"/>
      </rPr>
      <t>ctd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tr</t>
    </r>
    <r>
      <rPr>
        <sz val="11"/>
        <color indexed="8"/>
        <rFont val="Arial Narrow"/>
        <family val="2"/>
        <charset val="238"/>
      </rPr>
      <t xml:space="preserve">) = </t>
    </r>
    <r>
      <rPr>
        <sz val="12"/>
        <color indexed="8"/>
        <rFont val="Symbol"/>
        <family val="1"/>
        <charset val="2"/>
      </rPr>
      <t>a</t>
    </r>
    <r>
      <rPr>
        <vertAlign val="subscript"/>
        <sz val="11"/>
        <color indexed="8"/>
        <rFont val="Arial Narrow"/>
        <family val="2"/>
        <charset val="238"/>
      </rPr>
      <t>ct</t>
    </r>
    <r>
      <rPr>
        <sz val="11"/>
        <color indexed="8"/>
        <rFont val="Arial Narrow"/>
        <family val="2"/>
        <charset val="238"/>
      </rPr>
      <t xml:space="preserve"> * 0,7 * f</t>
    </r>
    <r>
      <rPr>
        <vertAlign val="subscript"/>
        <sz val="11"/>
        <color indexed="8"/>
        <rFont val="Arial Narrow"/>
        <family val="2"/>
        <charset val="238"/>
      </rPr>
      <t>ctm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tr</t>
    </r>
    <r>
      <rPr>
        <sz val="11"/>
        <color indexed="8"/>
        <rFont val="Arial Narrow"/>
        <family val="2"/>
        <charset val="238"/>
      </rPr>
      <t>)</t>
    </r>
  </si>
  <si>
    <t>napětí v soudržnosti</t>
  </si>
  <si>
    <r>
      <rPr>
        <b/>
        <sz val="11"/>
        <color indexed="8"/>
        <rFont val="Arial Narrow"/>
        <family val="2"/>
        <charset val="238"/>
      </rPr>
      <t>výpočet kotevní délky l</t>
    </r>
    <r>
      <rPr>
        <b/>
        <vertAlign val="subscript"/>
        <sz val="11"/>
        <color indexed="8"/>
        <rFont val="Arial Narrow"/>
        <family val="2"/>
        <charset val="238"/>
      </rPr>
      <t>pt</t>
    </r>
    <r>
      <rPr>
        <sz val="11"/>
        <color indexed="8"/>
        <rFont val="Arial Narrow"/>
        <family val="2"/>
        <charset val="238"/>
      </rPr>
      <t xml:space="preserve"> dle článku 8.10.2.2; extrém nastane při vnesení předpětí do prvku </t>
    </r>
    <r>
      <rPr>
        <sz val="10"/>
        <color indexed="8"/>
        <rFont val="Arial Narrow"/>
        <family val="2"/>
        <charset val="238"/>
      </rPr>
      <t>(nejnižší napětí v soudržnosti a naopak nejvyšší napětí ve výztuži)</t>
    </r>
  </si>
  <si>
    <r>
      <t>f</t>
    </r>
    <r>
      <rPr>
        <vertAlign val="subscript"/>
        <sz val="11"/>
        <color indexed="8"/>
        <rFont val="Arial Narrow"/>
        <family val="2"/>
        <charset val="238"/>
      </rPr>
      <t>bpt</t>
    </r>
  </si>
  <si>
    <r>
      <t>f</t>
    </r>
    <r>
      <rPr>
        <vertAlign val="subscript"/>
        <sz val="11"/>
        <color indexed="8"/>
        <rFont val="Arial Narrow"/>
        <family val="2"/>
        <charset val="238"/>
      </rPr>
      <t>bpt</t>
    </r>
    <r>
      <rPr>
        <sz val="11"/>
        <color indexed="8"/>
        <rFont val="Arial Narrow"/>
        <family val="2"/>
        <charset val="238"/>
      </rPr>
      <t xml:space="preserve"> = </t>
    </r>
    <r>
      <rPr>
        <sz val="12"/>
        <color indexed="8"/>
        <rFont val="Symbol"/>
        <family val="1"/>
        <charset val="2"/>
      </rPr>
      <t>h</t>
    </r>
    <r>
      <rPr>
        <vertAlign val="subscript"/>
        <sz val="11"/>
        <color indexed="8"/>
        <rFont val="Arial Narrow"/>
        <family val="2"/>
        <charset val="238"/>
      </rPr>
      <t>p1</t>
    </r>
    <r>
      <rPr>
        <sz val="11"/>
        <color indexed="8"/>
        <rFont val="Arial Narrow"/>
        <family val="2"/>
        <charset val="238"/>
      </rPr>
      <t xml:space="preserve"> * </t>
    </r>
    <r>
      <rPr>
        <sz val="12"/>
        <color indexed="8"/>
        <rFont val="Symbol"/>
        <family val="1"/>
        <charset val="2"/>
      </rPr>
      <t>h</t>
    </r>
    <r>
      <rPr>
        <vertAlign val="subscript"/>
        <sz val="11"/>
        <color indexed="8"/>
        <rFont val="Arial Narrow"/>
        <family val="2"/>
        <charset val="238"/>
      </rPr>
      <t>1</t>
    </r>
    <r>
      <rPr>
        <sz val="11"/>
        <color indexed="8"/>
        <rFont val="Arial Narrow"/>
        <family val="2"/>
        <charset val="238"/>
      </rPr>
      <t xml:space="preserve"> * f</t>
    </r>
    <r>
      <rPr>
        <vertAlign val="subscript"/>
        <sz val="11"/>
        <color indexed="8"/>
        <rFont val="Arial Narrow"/>
        <family val="2"/>
        <charset val="238"/>
      </rPr>
      <t>ctd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tr</t>
    </r>
    <r>
      <rPr>
        <sz val="11"/>
        <color indexed="8"/>
        <rFont val="Arial Narrow"/>
        <family val="2"/>
        <charset val="238"/>
      </rPr>
      <t>)</t>
    </r>
  </si>
  <si>
    <t>(8.15)</t>
  </si>
  <si>
    <t>extrémní možné napětí ve výztuži po transferu</t>
  </si>
  <si>
    <t>(8.16)</t>
  </si>
  <si>
    <r>
      <t>l</t>
    </r>
    <r>
      <rPr>
        <vertAlign val="subscript"/>
        <sz val="11"/>
        <color indexed="8"/>
        <rFont val="Arial Narrow"/>
        <family val="2"/>
        <charset val="238"/>
      </rPr>
      <t>pt</t>
    </r>
    <r>
      <rPr>
        <sz val="11"/>
        <color indexed="8"/>
        <rFont val="Arial Narrow"/>
        <family val="2"/>
        <charset val="238"/>
      </rPr>
      <t xml:space="preserve"> = </t>
    </r>
    <r>
      <rPr>
        <sz val="12"/>
        <color indexed="8"/>
        <rFont val="Symbol"/>
        <family val="1"/>
        <charset val="2"/>
      </rPr>
      <t>a</t>
    </r>
    <r>
      <rPr>
        <vertAlign val="subscript"/>
        <sz val="11"/>
        <color indexed="8"/>
        <rFont val="Arial Narrow"/>
        <family val="2"/>
        <charset val="238"/>
      </rPr>
      <t>1</t>
    </r>
    <r>
      <rPr>
        <sz val="11"/>
        <color indexed="8"/>
        <rFont val="Arial Narrow"/>
        <family val="2"/>
        <charset val="238"/>
      </rPr>
      <t xml:space="preserve"> * </t>
    </r>
    <r>
      <rPr>
        <sz val="12"/>
        <color indexed="8"/>
        <rFont val="Symbol"/>
        <family val="1"/>
        <charset val="2"/>
      </rPr>
      <t>a</t>
    </r>
    <r>
      <rPr>
        <vertAlign val="subscript"/>
        <sz val="11"/>
        <color indexed="8"/>
        <rFont val="Arial Narrow"/>
        <family val="2"/>
        <charset val="238"/>
      </rPr>
      <t>2</t>
    </r>
    <r>
      <rPr>
        <sz val="11"/>
        <color indexed="8"/>
        <rFont val="Arial Narrow"/>
        <family val="2"/>
        <charset val="238"/>
      </rPr>
      <t xml:space="preserve"> * </t>
    </r>
    <r>
      <rPr>
        <sz val="12"/>
        <color indexed="8"/>
        <rFont val="Symbol"/>
        <family val="1"/>
        <charset val="2"/>
      </rPr>
      <t>f</t>
    </r>
    <r>
      <rPr>
        <sz val="11"/>
        <color indexed="8"/>
        <rFont val="Arial Narrow"/>
        <family val="2"/>
        <charset val="238"/>
      </rPr>
      <t xml:space="preserve"> * </t>
    </r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pm0</t>
    </r>
    <r>
      <rPr>
        <sz val="11"/>
        <color indexed="8"/>
        <rFont val="Arial Narrow"/>
        <family val="2"/>
        <charset val="238"/>
      </rPr>
      <t>/f</t>
    </r>
    <r>
      <rPr>
        <vertAlign val="subscript"/>
        <sz val="11"/>
        <color indexed="8"/>
        <rFont val="Arial Narrow"/>
        <family val="2"/>
        <charset val="238"/>
      </rPr>
      <t>bpt</t>
    </r>
  </si>
  <si>
    <t>součinitel zohledňující uvolnění předpětí do prvku</t>
  </si>
  <si>
    <r>
      <t>součinitel zohledňující vliv typu průřezu na l</t>
    </r>
    <r>
      <rPr>
        <vertAlign val="subscript"/>
        <sz val="11"/>
        <color indexed="8"/>
        <rFont val="Arial Narrow"/>
        <family val="2"/>
        <charset val="238"/>
      </rPr>
      <t>pt</t>
    </r>
  </si>
  <si>
    <r>
      <rPr>
        <sz val="12"/>
        <color indexed="8"/>
        <rFont val="Symbol"/>
        <family val="1"/>
        <charset val="2"/>
      </rPr>
      <t>a</t>
    </r>
    <r>
      <rPr>
        <vertAlign val="subscript"/>
        <sz val="11"/>
        <color indexed="8"/>
        <rFont val="Arial Narrow"/>
        <family val="2"/>
        <charset val="238"/>
      </rPr>
      <t>1</t>
    </r>
    <r>
      <rPr>
        <sz val="11"/>
        <color indexed="8"/>
        <rFont val="Arial Narrow"/>
        <family val="2"/>
        <charset val="238"/>
      </rPr>
      <t/>
    </r>
  </si>
  <si>
    <r>
      <rPr>
        <sz val="12"/>
        <color indexed="8"/>
        <rFont val="Symbol"/>
        <family val="1"/>
        <charset val="2"/>
      </rPr>
      <t>a</t>
    </r>
    <r>
      <rPr>
        <vertAlign val="subscript"/>
        <sz val="11"/>
        <color indexed="8"/>
        <rFont val="Arial Narrow"/>
        <family val="2"/>
        <charset val="238"/>
      </rPr>
      <t>2</t>
    </r>
  </si>
  <si>
    <t>průměr výztuže</t>
  </si>
  <si>
    <t>průměr předpínací výztuže 1.řada</t>
  </si>
  <si>
    <t>průměr předpínací výztuže 2.řada</t>
  </si>
  <si>
    <t>průměr předpínací výztuže 3.řada</t>
  </si>
  <si>
    <t>počet rozdílných průměrů předpínacích lan</t>
  </si>
  <si>
    <t>počet průměrů</t>
  </si>
  <si>
    <t>jeden typ průměru</t>
  </si>
  <si>
    <t>dva typy průměrů</t>
  </si>
  <si>
    <t>tři typy průměrů</t>
  </si>
  <si>
    <t>základní hodnota kotevní délky pro průměr 12,5mm</t>
  </si>
  <si>
    <t>základní hodnota kotevní délky pro průměr 9,3mm</t>
  </si>
  <si>
    <r>
      <t>l</t>
    </r>
    <r>
      <rPr>
        <vertAlign val="superscript"/>
        <sz val="11"/>
        <color indexed="8"/>
        <rFont val="Arial Narrow"/>
        <family val="2"/>
        <charset val="238"/>
      </rPr>
      <t>1</t>
    </r>
    <r>
      <rPr>
        <vertAlign val="subscript"/>
        <sz val="11"/>
        <color indexed="8"/>
        <rFont val="Arial Narrow"/>
        <family val="2"/>
        <charset val="238"/>
      </rPr>
      <t>pt</t>
    </r>
    <r>
      <rPr>
        <sz val="11"/>
        <color indexed="8"/>
        <rFont val="Arial Narrow"/>
        <family val="2"/>
        <charset val="238"/>
      </rPr>
      <t>=l</t>
    </r>
    <r>
      <rPr>
        <vertAlign val="superscript"/>
        <sz val="11"/>
        <color indexed="8"/>
        <rFont val="Arial Narrow"/>
        <family val="2"/>
        <charset val="238"/>
      </rPr>
      <t>2</t>
    </r>
    <r>
      <rPr>
        <vertAlign val="subscript"/>
        <sz val="11"/>
        <color indexed="8"/>
        <rFont val="Arial Narrow"/>
        <family val="2"/>
        <charset val="238"/>
      </rPr>
      <t>pt</t>
    </r>
  </si>
  <si>
    <r>
      <t>l</t>
    </r>
    <r>
      <rPr>
        <vertAlign val="superscript"/>
        <sz val="11"/>
        <color indexed="8"/>
        <rFont val="Arial Narrow"/>
        <family val="2"/>
        <charset val="238"/>
      </rPr>
      <t>3</t>
    </r>
    <r>
      <rPr>
        <vertAlign val="subscript"/>
        <sz val="11"/>
        <color indexed="8"/>
        <rFont val="Arial Narrow"/>
        <family val="2"/>
        <charset val="238"/>
      </rPr>
      <t>pt</t>
    </r>
  </si>
  <si>
    <r>
      <rPr>
        <sz val="12"/>
        <color indexed="8"/>
        <rFont val="Symbol"/>
        <family val="1"/>
        <charset val="2"/>
      </rPr>
      <t>f</t>
    </r>
    <r>
      <rPr>
        <vertAlign val="superscript"/>
        <sz val="11"/>
        <color indexed="8"/>
        <rFont val="Arial Narrow"/>
        <family val="2"/>
        <charset val="238"/>
      </rPr>
      <t>1</t>
    </r>
  </si>
  <si>
    <r>
      <rPr>
        <sz val="12"/>
        <color indexed="8"/>
        <rFont val="Symbol"/>
        <family val="1"/>
        <charset val="2"/>
      </rPr>
      <t>f</t>
    </r>
    <r>
      <rPr>
        <vertAlign val="superscript"/>
        <sz val="11"/>
        <color indexed="8"/>
        <rFont val="Arial Narrow"/>
        <family val="2"/>
        <charset val="238"/>
      </rPr>
      <t>2</t>
    </r>
  </si>
  <si>
    <r>
      <rPr>
        <sz val="12"/>
        <color indexed="8"/>
        <rFont val="Symbol"/>
        <family val="1"/>
        <charset val="2"/>
      </rPr>
      <t>f</t>
    </r>
    <r>
      <rPr>
        <vertAlign val="superscript"/>
        <sz val="11"/>
        <color indexed="8"/>
        <rFont val="Arial Narrow"/>
        <family val="2"/>
        <charset val="238"/>
      </rPr>
      <t>3</t>
    </r>
  </si>
  <si>
    <r>
      <t>l</t>
    </r>
    <r>
      <rPr>
        <vertAlign val="subscript"/>
        <sz val="11"/>
        <color indexed="8"/>
        <rFont val="Arial Narrow"/>
        <family val="2"/>
        <charset val="238"/>
      </rPr>
      <t>pt1</t>
    </r>
    <r>
      <rPr>
        <sz val="11"/>
        <color indexed="8"/>
        <rFont val="Arial Narrow"/>
        <family val="2"/>
        <charset val="238"/>
      </rPr>
      <t xml:space="preserve"> = 0,8  * l</t>
    </r>
    <r>
      <rPr>
        <vertAlign val="subscript"/>
        <sz val="11"/>
        <color indexed="8"/>
        <rFont val="Arial Narrow"/>
        <family val="2"/>
        <charset val="238"/>
      </rPr>
      <t>pt</t>
    </r>
  </si>
  <si>
    <t>(8.17)</t>
  </si>
  <si>
    <t>(8.18)</t>
  </si>
  <si>
    <t>návrhová hodnota k. d. pro průměr 12,5mm (0,8)</t>
  </si>
  <si>
    <t>návrhová hodnota k. d. pro průměr 9,3mm (0,8)</t>
  </si>
  <si>
    <t>návrhová hodnota k. d. pro průměr 12,5mm (1,2)</t>
  </si>
  <si>
    <t>návrhová hodnota k. d. pro průměr 9,3mm (1,2)</t>
  </si>
  <si>
    <r>
      <t>l</t>
    </r>
    <r>
      <rPr>
        <b/>
        <vertAlign val="superscript"/>
        <sz val="11"/>
        <color indexed="8"/>
        <rFont val="Arial Narrow"/>
        <family val="2"/>
        <charset val="238"/>
      </rPr>
      <t>1</t>
    </r>
    <r>
      <rPr>
        <b/>
        <vertAlign val="subscript"/>
        <sz val="11"/>
        <color indexed="8"/>
        <rFont val="Arial Narrow"/>
        <family val="2"/>
        <charset val="238"/>
      </rPr>
      <t>pt1</t>
    </r>
    <r>
      <rPr>
        <b/>
        <sz val="11"/>
        <color indexed="8"/>
        <rFont val="Arial Narrow"/>
        <family val="2"/>
        <charset val="238"/>
      </rPr>
      <t>=l</t>
    </r>
    <r>
      <rPr>
        <b/>
        <vertAlign val="superscript"/>
        <sz val="11"/>
        <color indexed="8"/>
        <rFont val="Arial Narrow"/>
        <family val="2"/>
        <charset val="238"/>
      </rPr>
      <t>2</t>
    </r>
    <r>
      <rPr>
        <b/>
        <vertAlign val="subscript"/>
        <sz val="11"/>
        <color indexed="8"/>
        <rFont val="Arial Narrow"/>
        <family val="2"/>
        <charset val="238"/>
      </rPr>
      <t>pt1</t>
    </r>
  </si>
  <si>
    <r>
      <t>l</t>
    </r>
    <r>
      <rPr>
        <b/>
        <vertAlign val="superscript"/>
        <sz val="11"/>
        <color indexed="8"/>
        <rFont val="Arial Narrow"/>
        <family val="2"/>
        <charset val="238"/>
      </rPr>
      <t>3</t>
    </r>
    <r>
      <rPr>
        <b/>
        <vertAlign val="subscript"/>
        <sz val="11"/>
        <color indexed="8"/>
        <rFont val="Arial Narrow"/>
        <family val="2"/>
        <charset val="238"/>
      </rPr>
      <t>pt1</t>
    </r>
  </si>
  <si>
    <r>
      <t>l</t>
    </r>
    <r>
      <rPr>
        <b/>
        <vertAlign val="superscript"/>
        <sz val="11"/>
        <color indexed="8"/>
        <rFont val="Arial Narrow"/>
        <family val="2"/>
        <charset val="238"/>
      </rPr>
      <t>1</t>
    </r>
    <r>
      <rPr>
        <b/>
        <vertAlign val="subscript"/>
        <sz val="11"/>
        <color indexed="8"/>
        <rFont val="Arial Narrow"/>
        <family val="2"/>
        <charset val="238"/>
      </rPr>
      <t>pt2</t>
    </r>
    <r>
      <rPr>
        <b/>
        <sz val="11"/>
        <color indexed="8"/>
        <rFont val="Arial Narrow"/>
        <family val="2"/>
        <charset val="238"/>
      </rPr>
      <t>=l</t>
    </r>
    <r>
      <rPr>
        <b/>
        <vertAlign val="superscript"/>
        <sz val="11"/>
        <color indexed="8"/>
        <rFont val="Arial Narrow"/>
        <family val="2"/>
        <charset val="238"/>
      </rPr>
      <t>2</t>
    </r>
    <r>
      <rPr>
        <b/>
        <vertAlign val="subscript"/>
        <sz val="11"/>
        <color indexed="8"/>
        <rFont val="Arial Narrow"/>
        <family val="2"/>
        <charset val="238"/>
      </rPr>
      <t>pt2</t>
    </r>
  </si>
  <si>
    <r>
      <t>l</t>
    </r>
    <r>
      <rPr>
        <b/>
        <vertAlign val="superscript"/>
        <sz val="11"/>
        <color indexed="8"/>
        <rFont val="Arial Narrow"/>
        <family val="2"/>
        <charset val="238"/>
      </rPr>
      <t>3</t>
    </r>
    <r>
      <rPr>
        <b/>
        <vertAlign val="subscript"/>
        <sz val="11"/>
        <color indexed="8"/>
        <rFont val="Arial Narrow"/>
        <family val="2"/>
        <charset val="238"/>
      </rPr>
      <t>pt2</t>
    </r>
  </si>
  <si>
    <t>vyrovnávací délka kotevní oblasti</t>
  </si>
  <si>
    <r>
      <t>l</t>
    </r>
    <r>
      <rPr>
        <vertAlign val="subscript"/>
        <sz val="11"/>
        <color indexed="8"/>
        <rFont val="Arial Narrow"/>
        <family val="2"/>
        <charset val="238"/>
      </rPr>
      <t>dis</t>
    </r>
  </si>
  <si>
    <t>(8.19)</t>
  </si>
  <si>
    <t>moment od vlastní tíhy prvku uprostřed rozpětí</t>
  </si>
  <si>
    <t>v prvku nedochází k separaci lan</t>
  </si>
  <si>
    <r>
      <t>napětí ve výztuži v čase transferu t</t>
    </r>
    <r>
      <rPr>
        <vertAlign val="subscript"/>
        <sz val="11"/>
        <color indexed="8"/>
        <rFont val="Arial Narrow"/>
        <family val="2"/>
        <charset val="238"/>
      </rPr>
      <t>tr</t>
    </r>
    <r>
      <rPr>
        <sz val="11"/>
        <color indexed="8"/>
        <rFont val="Arial Narrow"/>
        <family val="2"/>
        <charset val="238"/>
      </rPr>
      <t xml:space="preserve"> u podpory</t>
    </r>
  </si>
  <si>
    <r>
      <t>celková počáteční předpínací síla uprostřed rozpětí v čase transferu t</t>
    </r>
    <r>
      <rPr>
        <b/>
        <vertAlign val="subscript"/>
        <sz val="11"/>
        <color indexed="8"/>
        <rFont val="Arial Narrow"/>
        <family val="2"/>
        <charset val="238"/>
      </rPr>
      <t>tr</t>
    </r>
  </si>
  <si>
    <r>
      <t>celková počáteční předpínací síla u podpory v čase transferu t</t>
    </r>
    <r>
      <rPr>
        <b/>
        <vertAlign val="subscript"/>
        <sz val="11"/>
        <color indexed="8"/>
        <rFont val="Arial Narrow"/>
        <family val="2"/>
        <charset val="238"/>
      </rPr>
      <t>tr</t>
    </r>
  </si>
  <si>
    <t>uložení panelu</t>
  </si>
  <si>
    <t>a</t>
  </si>
  <si>
    <t>teoretické rozpětí nosníku</t>
  </si>
  <si>
    <r>
      <t>L</t>
    </r>
    <r>
      <rPr>
        <vertAlign val="subscript"/>
        <sz val="11"/>
        <color indexed="8"/>
        <rFont val="Arial Narrow"/>
        <family val="2"/>
        <charset val="238"/>
      </rPr>
      <t>0</t>
    </r>
  </si>
  <si>
    <r>
      <t>moment od vlastní tíhy prvku ve vzdálenosti l</t>
    </r>
    <r>
      <rPr>
        <vertAlign val="subscript"/>
        <sz val="11"/>
        <color indexed="8"/>
        <rFont val="Arial Narrow"/>
        <family val="2"/>
        <charset val="238"/>
      </rPr>
      <t>pt1</t>
    </r>
  </si>
  <si>
    <r>
      <t>l</t>
    </r>
    <r>
      <rPr>
        <vertAlign val="subscript"/>
        <sz val="11"/>
        <color indexed="8"/>
        <rFont val="Arial Narrow"/>
        <family val="2"/>
        <charset val="238"/>
      </rPr>
      <t>pt1</t>
    </r>
    <r>
      <rPr>
        <b/>
        <sz val="11"/>
        <color indexed="8"/>
        <rFont val="Arial Narrow"/>
        <family val="2"/>
        <charset val="238"/>
      </rPr>
      <t/>
    </r>
  </si>
  <si>
    <t>vzdálenost od podpory</t>
  </si>
  <si>
    <r>
      <t>M</t>
    </r>
    <r>
      <rPr>
        <vertAlign val="subscript"/>
        <sz val="11"/>
        <color indexed="8"/>
        <rFont val="Arial Narrow"/>
        <family val="2"/>
        <charset val="238"/>
      </rPr>
      <t xml:space="preserve">e,0k </t>
    </r>
    <r>
      <rPr>
        <sz val="11"/>
        <color indexed="8"/>
        <rFont val="Arial Narrow"/>
        <family val="2"/>
        <charset val="238"/>
      </rPr>
      <t>(l</t>
    </r>
    <r>
      <rPr>
        <vertAlign val="subscript"/>
        <sz val="11"/>
        <color indexed="8"/>
        <rFont val="Arial Narrow"/>
        <family val="2"/>
        <charset val="238"/>
      </rPr>
      <t>pt1</t>
    </r>
    <r>
      <rPr>
        <sz val="11"/>
        <color indexed="8"/>
        <rFont val="Arial Narrow"/>
        <family val="2"/>
        <charset val="238"/>
      </rPr>
      <t>)</t>
    </r>
  </si>
  <si>
    <r>
      <t xml:space="preserve">moment od působícího zatížení </t>
    </r>
    <r>
      <rPr>
        <sz val="9"/>
        <color indexed="8"/>
        <rFont val="Arial Narrow"/>
        <family val="2"/>
        <charset val="238"/>
      </rPr>
      <t>(pouze vlastní v.)</t>
    </r>
  </si>
  <si>
    <t>modul ideálního průřezu horní</t>
  </si>
  <si>
    <t>modul ideálního průřezu dolní</t>
  </si>
  <si>
    <t>excentricita těžiště předpínacích lan od těžiště IP</t>
  </si>
  <si>
    <t>působící předpínací síla</t>
  </si>
  <si>
    <t>moment od předpětí</t>
  </si>
  <si>
    <r>
      <t>M</t>
    </r>
    <r>
      <rPr>
        <vertAlign val="subscript"/>
        <sz val="11"/>
        <color indexed="8"/>
        <rFont val="Arial Narrow"/>
        <family val="2"/>
        <charset val="238"/>
      </rPr>
      <t>p,tr</t>
    </r>
    <r>
      <rPr>
        <sz val="11"/>
        <color indexed="8"/>
        <rFont val="Arial Narrow"/>
        <family val="2"/>
        <charset val="238"/>
      </rPr>
      <t>(l</t>
    </r>
    <r>
      <rPr>
        <vertAlign val="subscript"/>
        <sz val="11"/>
        <color indexed="8"/>
        <rFont val="Arial Narrow"/>
        <family val="2"/>
        <charset val="238"/>
      </rPr>
      <t>pt1</t>
    </r>
    <r>
      <rPr>
        <sz val="11"/>
        <color indexed="8"/>
        <rFont val="Arial Narrow"/>
        <family val="2"/>
        <charset val="238"/>
      </rPr>
      <t>)</t>
    </r>
  </si>
  <si>
    <t>normálové napětí v horních vláknech</t>
  </si>
  <si>
    <t>normálnové napětí v dolních vláknech</t>
  </si>
  <si>
    <t>odchylky od uvažovaného předpětí dle článku 5.10.9:</t>
  </si>
  <si>
    <t>(5.47)</t>
  </si>
  <si>
    <t>(5.48)</t>
  </si>
  <si>
    <r>
      <t xml:space="preserve">horní charakteristická hodnota </t>
    </r>
    <r>
      <rPr>
        <sz val="9"/>
        <color indexed="8"/>
        <rFont val="Arial Narrow"/>
        <family val="2"/>
        <charset val="238"/>
      </rPr>
      <t>uprostřed rozpětí</t>
    </r>
  </si>
  <si>
    <r>
      <t xml:space="preserve">dolní charakteristická hodnota </t>
    </r>
    <r>
      <rPr>
        <sz val="9"/>
        <color indexed="8"/>
        <rFont val="Arial Narrow"/>
        <family val="2"/>
        <charset val="238"/>
      </rPr>
      <t>uprostřed rozpětí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</si>
  <si>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k,sup,tr</t>
    </r>
    <r>
      <rPr>
        <sz val="9"/>
        <color indexed="8"/>
        <rFont val="Arial Narrow"/>
        <family val="2"/>
        <charset val="238"/>
      </rPr>
      <t>(L/2)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</si>
  <si>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k,inf,tr</t>
    </r>
    <r>
      <rPr>
        <sz val="9"/>
        <color indexed="8"/>
        <rFont val="Arial Narrow"/>
        <family val="2"/>
        <charset val="238"/>
      </rPr>
      <t>(L/2)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</si>
  <si>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k,sup,tr</t>
    </r>
    <r>
      <rPr>
        <sz val="9"/>
        <color indexed="8"/>
        <rFont val="Arial Narrow"/>
        <family val="2"/>
        <charset val="238"/>
      </rPr>
      <t xml:space="preserve">(L/2) </t>
    </r>
    <r>
      <rPr>
        <sz val="11"/>
        <color indexed="8"/>
        <rFont val="Arial Narrow"/>
        <family val="2"/>
        <charset val="238"/>
      </rPr>
      <t>= r</t>
    </r>
    <r>
      <rPr>
        <vertAlign val="subscript"/>
        <sz val="11"/>
        <color indexed="8"/>
        <rFont val="Arial Narrow"/>
        <family val="2"/>
        <charset val="238"/>
      </rPr>
      <t>sup</t>
    </r>
    <r>
      <rPr>
        <sz val="11"/>
        <color indexed="8"/>
        <rFont val="Arial Narrow"/>
        <family val="2"/>
        <charset val="238"/>
      </rPr>
      <t xml:space="preserve">  * N</t>
    </r>
    <r>
      <rPr>
        <vertAlign val="subscript"/>
        <sz val="11"/>
        <color indexed="8"/>
        <rFont val="Arial Narrow"/>
        <family val="2"/>
        <charset val="238"/>
      </rPr>
      <t>p,tr</t>
    </r>
    <r>
      <rPr>
        <sz val="9"/>
        <color indexed="8"/>
        <rFont val="Arial Narrow"/>
        <family val="2"/>
        <charset val="238"/>
      </rPr>
      <t>(L/2)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</si>
  <si>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k,inf,tr</t>
    </r>
    <r>
      <rPr>
        <sz val="9"/>
        <color indexed="8"/>
        <rFont val="Arial Narrow"/>
        <family val="2"/>
        <charset val="238"/>
      </rPr>
      <t xml:space="preserve">(L/2) </t>
    </r>
    <r>
      <rPr>
        <sz val="11"/>
        <color indexed="8"/>
        <rFont val="Arial Narrow"/>
        <family val="2"/>
        <charset val="238"/>
      </rPr>
      <t>= r</t>
    </r>
    <r>
      <rPr>
        <vertAlign val="subscript"/>
        <sz val="11"/>
        <color indexed="8"/>
        <rFont val="Arial Narrow"/>
        <family val="2"/>
        <charset val="238"/>
      </rPr>
      <t>inf</t>
    </r>
    <r>
      <rPr>
        <sz val="11"/>
        <color indexed="8"/>
        <rFont val="Arial Narrow"/>
        <family val="2"/>
        <charset val="238"/>
      </rPr>
      <t xml:space="preserve">  * N</t>
    </r>
    <r>
      <rPr>
        <vertAlign val="subscript"/>
        <sz val="11"/>
        <color indexed="8"/>
        <rFont val="Arial Narrow"/>
        <family val="2"/>
        <charset val="238"/>
      </rPr>
      <t>p,tr</t>
    </r>
    <r>
      <rPr>
        <sz val="9"/>
        <color indexed="8"/>
        <rFont val="Arial Narrow"/>
        <family val="2"/>
        <charset val="238"/>
      </rPr>
      <t>(L/2)</t>
    </r>
  </si>
  <si>
    <t>horní charakteristická hodnota u podpory</t>
  </si>
  <si>
    <t>dolní charakteristická hodnota u podpory</t>
  </si>
  <si>
    <r>
      <t>N</t>
    </r>
    <r>
      <rPr>
        <vertAlign val="subscript"/>
        <sz val="11"/>
        <color indexed="8"/>
        <rFont val="Arial Narrow"/>
        <family val="2"/>
        <charset val="238"/>
      </rPr>
      <t>k,sup,tr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>)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</si>
  <si>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k,inf,tr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>)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</si>
  <si>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k,sup,tr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 xml:space="preserve">) </t>
    </r>
    <r>
      <rPr>
        <sz val="11"/>
        <color indexed="8"/>
        <rFont val="Arial Narrow"/>
        <family val="2"/>
        <charset val="238"/>
      </rPr>
      <t>= r</t>
    </r>
    <r>
      <rPr>
        <vertAlign val="subscript"/>
        <sz val="11"/>
        <color indexed="8"/>
        <rFont val="Arial Narrow"/>
        <family val="2"/>
        <charset val="238"/>
      </rPr>
      <t>sup</t>
    </r>
    <r>
      <rPr>
        <sz val="11"/>
        <color indexed="8"/>
        <rFont val="Arial Narrow"/>
        <family val="2"/>
        <charset val="238"/>
      </rPr>
      <t xml:space="preserve">  * N</t>
    </r>
    <r>
      <rPr>
        <vertAlign val="subscript"/>
        <sz val="11"/>
        <color indexed="8"/>
        <rFont val="Arial Narrow"/>
        <family val="2"/>
        <charset val="238"/>
      </rPr>
      <t>p,tr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>)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</si>
  <si>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k,inf,tr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 xml:space="preserve">) </t>
    </r>
    <r>
      <rPr>
        <sz val="11"/>
        <color indexed="8"/>
        <rFont val="Arial Narrow"/>
        <family val="2"/>
        <charset val="238"/>
      </rPr>
      <t>= r</t>
    </r>
    <r>
      <rPr>
        <vertAlign val="subscript"/>
        <sz val="11"/>
        <color indexed="8"/>
        <rFont val="Arial Narrow"/>
        <family val="2"/>
        <charset val="238"/>
      </rPr>
      <t>inf</t>
    </r>
    <r>
      <rPr>
        <sz val="11"/>
        <color indexed="8"/>
        <rFont val="Arial Narrow"/>
        <family val="2"/>
        <charset val="238"/>
      </rPr>
      <t xml:space="preserve">  * N</t>
    </r>
    <r>
      <rPr>
        <vertAlign val="subscript"/>
        <sz val="11"/>
        <color indexed="8"/>
        <rFont val="Arial Narrow"/>
        <family val="2"/>
        <charset val="238"/>
      </rPr>
      <t>p,tr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>)</t>
    </r>
  </si>
  <si>
    <r>
      <t>r</t>
    </r>
    <r>
      <rPr>
        <vertAlign val="subscript"/>
        <sz val="11"/>
        <color indexed="8"/>
        <rFont val="Arial Narrow"/>
        <family val="2"/>
        <charset val="238"/>
      </rPr>
      <t>sup</t>
    </r>
    <r>
      <rPr>
        <sz val="11"/>
        <color indexed="8"/>
        <rFont val="Arial Narrow"/>
        <family val="2"/>
        <charset val="238"/>
      </rPr>
      <t/>
    </r>
  </si>
  <si>
    <t>(5.10.9, čl(1))</t>
  </si>
  <si>
    <r>
      <t>r</t>
    </r>
    <r>
      <rPr>
        <vertAlign val="subscript"/>
        <sz val="11"/>
        <color indexed="8"/>
        <rFont val="Arial Narrow"/>
        <family val="2"/>
        <charset val="238"/>
      </rPr>
      <t>inf</t>
    </r>
  </si>
  <si>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h,tr</t>
    </r>
  </si>
  <si>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d,tr</t>
    </r>
  </si>
  <si>
    <r>
      <t>mezní napětí v tahu v čase t</t>
    </r>
    <r>
      <rPr>
        <vertAlign val="subscript"/>
        <sz val="11"/>
        <color indexed="8"/>
        <rFont val="Arial Narrow"/>
        <family val="2"/>
        <charset val="238"/>
      </rPr>
      <t>tr</t>
    </r>
  </si>
  <si>
    <r>
      <t>mezní napětí v tlaku v čase t</t>
    </r>
    <r>
      <rPr>
        <vertAlign val="subscript"/>
        <sz val="11"/>
        <color indexed="8"/>
        <rFont val="Arial Narrow"/>
        <family val="2"/>
        <charset val="238"/>
      </rPr>
      <t>tr</t>
    </r>
  </si>
  <si>
    <t>charakteristická pevnost betonu v tlaku v čase transferu</t>
  </si>
  <si>
    <r>
      <t>f</t>
    </r>
    <r>
      <rPr>
        <vertAlign val="subscript"/>
        <sz val="11"/>
        <color indexed="8"/>
        <rFont val="Arial Narrow"/>
        <family val="2"/>
        <charset val="238"/>
      </rPr>
      <t>ck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tr</t>
    </r>
    <r>
      <rPr>
        <sz val="11"/>
        <color indexed="8"/>
        <rFont val="Arial Narrow"/>
        <family val="2"/>
        <charset val="238"/>
      </rPr>
      <t>)</t>
    </r>
  </si>
  <si>
    <r>
      <t>f</t>
    </r>
    <r>
      <rPr>
        <vertAlign val="subscript"/>
        <sz val="11"/>
        <color indexed="8"/>
        <rFont val="Arial Narrow"/>
        <family val="2"/>
        <charset val="238"/>
      </rPr>
      <t>ck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tr</t>
    </r>
    <r>
      <rPr>
        <sz val="11"/>
        <color indexed="8"/>
        <rFont val="Arial Narrow"/>
        <family val="2"/>
        <charset val="238"/>
      </rPr>
      <t xml:space="preserve">) = </t>
    </r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>cc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tr</t>
    </r>
    <r>
      <rPr>
        <sz val="11"/>
        <color indexed="8"/>
        <rFont val="Arial Narrow"/>
        <family val="2"/>
        <charset val="238"/>
      </rPr>
      <t>)* f</t>
    </r>
    <r>
      <rPr>
        <vertAlign val="subscript"/>
        <sz val="11"/>
        <color indexed="8"/>
        <rFont val="Arial Narrow"/>
        <family val="2"/>
        <charset val="238"/>
      </rPr>
      <t xml:space="preserve">cm </t>
    </r>
    <r>
      <rPr>
        <sz val="11"/>
        <color indexed="8"/>
        <rFont val="Arial Narrow"/>
        <family val="2"/>
        <charset val="238"/>
      </rPr>
      <t>- 8[Mpa]</t>
    </r>
  </si>
  <si>
    <t>(3.1.2, čl(5,6))</t>
  </si>
  <si>
    <t>posouzení vzniku tahových trhlin u horního okraje</t>
  </si>
  <si>
    <t>podmínka</t>
  </si>
  <si>
    <t>(očekáván tah)</t>
  </si>
  <si>
    <t>(očekáván tlak)</t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</si>
  <si>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 xml:space="preserve">h,tr </t>
    </r>
    <r>
      <rPr>
        <sz val="11"/>
        <color indexed="8"/>
        <rFont val="Arial Narrow"/>
        <family val="2"/>
        <charset val="238"/>
      </rPr>
      <t>&lt; f</t>
    </r>
    <r>
      <rPr>
        <vertAlign val="subscript"/>
        <sz val="11"/>
        <color indexed="8"/>
        <rFont val="Arial Narrow"/>
        <family val="2"/>
        <charset val="238"/>
      </rPr>
      <t>ctm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tr</t>
    </r>
    <r>
      <rPr>
        <sz val="11"/>
        <color indexed="8"/>
        <rFont val="Arial Narrow"/>
        <family val="2"/>
        <charset val="238"/>
      </rPr>
      <t>)</t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</si>
  <si>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 xml:space="preserve">d,tr </t>
    </r>
    <r>
      <rPr>
        <sz val="11"/>
        <color indexed="8"/>
        <rFont val="Arial Narrow"/>
        <family val="2"/>
        <charset val="238"/>
      </rPr>
      <t>&lt; 0,6  *f</t>
    </r>
    <r>
      <rPr>
        <vertAlign val="subscript"/>
        <sz val="11"/>
        <color indexed="8"/>
        <rFont val="Arial Narrow"/>
        <family val="2"/>
        <charset val="238"/>
      </rPr>
      <t>ck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tr</t>
    </r>
    <r>
      <rPr>
        <sz val="11"/>
        <color indexed="8"/>
        <rFont val="Arial Narrow"/>
        <family val="2"/>
        <charset val="238"/>
      </rPr>
      <t>)</t>
    </r>
  </si>
  <si>
    <t>posouzení vzniku podélných trhlin u tlačeného okraje</t>
  </si>
  <si>
    <r>
      <t>průřez uprostřed rozpětí v čase t</t>
    </r>
    <r>
      <rPr>
        <b/>
        <vertAlign val="subscript"/>
        <sz val="11"/>
        <color indexed="8"/>
        <rFont val="Arial Narrow"/>
        <family val="2"/>
        <charset val="238"/>
      </rPr>
      <t>tr</t>
    </r>
  </si>
  <si>
    <t>L/2</t>
  </si>
  <si>
    <r>
      <t>M</t>
    </r>
    <r>
      <rPr>
        <vertAlign val="subscript"/>
        <sz val="11"/>
        <color indexed="8"/>
        <rFont val="Arial Narrow"/>
        <family val="2"/>
        <charset val="238"/>
      </rPr>
      <t xml:space="preserve">e,0k </t>
    </r>
    <r>
      <rPr>
        <sz val="9"/>
        <color indexed="8"/>
        <rFont val="Arial Narrow"/>
        <family val="2"/>
        <charset val="238"/>
      </rPr>
      <t>(L/2)</t>
    </r>
  </si>
  <si>
    <r>
      <t>M</t>
    </r>
    <r>
      <rPr>
        <vertAlign val="subscript"/>
        <sz val="11"/>
        <color indexed="8"/>
        <rFont val="Arial Narrow"/>
        <family val="2"/>
        <charset val="238"/>
      </rPr>
      <t>p,tr</t>
    </r>
    <r>
      <rPr>
        <sz val="9"/>
        <color indexed="8"/>
        <rFont val="Arial Narrow"/>
        <family val="2"/>
        <charset val="238"/>
      </rPr>
      <t>(L/2)</t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</si>
  <si>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 xml:space="preserve">d,tr </t>
    </r>
    <r>
      <rPr>
        <sz val="11"/>
        <color indexed="8"/>
        <rFont val="Arial Narrow"/>
        <family val="2"/>
        <charset val="238"/>
      </rPr>
      <t>&lt; f</t>
    </r>
    <r>
      <rPr>
        <vertAlign val="subscript"/>
        <sz val="11"/>
        <color indexed="8"/>
        <rFont val="Arial Narrow"/>
        <family val="2"/>
        <charset val="238"/>
      </rPr>
      <t>ctm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tr</t>
    </r>
    <r>
      <rPr>
        <sz val="11"/>
        <color indexed="8"/>
        <rFont val="Arial Narrow"/>
        <family val="2"/>
        <charset val="238"/>
      </rPr>
      <t>)</t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</si>
  <si>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 xml:space="preserve">h,tr </t>
    </r>
    <r>
      <rPr>
        <sz val="11"/>
        <color indexed="8"/>
        <rFont val="Arial Narrow"/>
        <family val="2"/>
        <charset val="238"/>
      </rPr>
      <t>&lt; 0,6  *f</t>
    </r>
    <r>
      <rPr>
        <vertAlign val="subscript"/>
        <sz val="11"/>
        <color indexed="8"/>
        <rFont val="Arial Narrow"/>
        <family val="2"/>
        <charset val="238"/>
      </rPr>
      <t>ck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tr</t>
    </r>
    <r>
      <rPr>
        <sz val="11"/>
        <color indexed="8"/>
        <rFont val="Arial Narrow"/>
        <family val="2"/>
        <charset val="238"/>
      </rPr>
      <t>)</t>
    </r>
  </si>
  <si>
    <t>časový úsek A</t>
  </si>
  <si>
    <t>časový úsek B</t>
  </si>
  <si>
    <t>napětí ve výztuži bez ztráty pružným přetvořením v L/2</t>
  </si>
  <si>
    <r>
      <t>napětí ve výztuži bez ztráty pružným přetvořením v l</t>
    </r>
    <r>
      <rPr>
        <vertAlign val="subscript"/>
        <sz val="10"/>
        <color indexed="8"/>
        <rFont val="Arial Narrow"/>
        <family val="2"/>
        <charset val="238"/>
      </rPr>
      <t>pt1</t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</si>
  <si>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p(L/2)</t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</si>
  <si>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p(lpt1)</t>
    </r>
  </si>
  <si>
    <t>1.1. Ztráty třením</t>
  </si>
  <si>
    <t>1.2. Ztráta pokluzem v kotvě</t>
  </si>
  <si>
    <t>1.3. Ztráta postupným předpínáním</t>
  </si>
  <si>
    <t>1.4. Ztráta pružným přetvořením opěrného zařízení</t>
  </si>
  <si>
    <t>1.5. Ztráta stlačením spár</t>
  </si>
  <si>
    <t>1.6. Ztráta otlačením betonu</t>
  </si>
  <si>
    <t>1.7. Ztráta dotvarováním (relaxací) předpínací výztuže</t>
  </si>
  <si>
    <t>1.8. Ztráta způsobená rozdílem teplot předpínací výztuže a opěrného zařízení</t>
  </si>
  <si>
    <t>1.9a. Ztráta okamžitým pružným přetvořením betonu prvku uprostřed rozpětí</t>
  </si>
  <si>
    <t>1.9b. Ztráta okamžitým pružným přetvořením betonu prvku u podpory</t>
  </si>
  <si>
    <r>
      <t>2.1. Ztráta dotvarováním (relaxací) předpínací výztuže v intervalu t</t>
    </r>
    <r>
      <rPr>
        <b/>
        <vertAlign val="subscript"/>
        <sz val="11"/>
        <color indexed="8"/>
        <rFont val="Arial Narrow"/>
        <family val="2"/>
        <charset val="238"/>
      </rPr>
      <t>tr</t>
    </r>
    <r>
      <rPr>
        <b/>
        <sz val="11"/>
        <color indexed="8"/>
        <rFont val="Arial Narrow"/>
        <family val="2"/>
        <charset val="238"/>
      </rPr>
      <t xml:space="preserve"> - t</t>
    </r>
    <r>
      <rPr>
        <b/>
        <vertAlign val="subscript"/>
        <sz val="11"/>
        <color indexed="8"/>
        <rFont val="Arial Narrow"/>
        <family val="2"/>
        <charset val="238"/>
      </rPr>
      <t>g+q</t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</si>
  <si>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p,i,tr</t>
    </r>
  </si>
  <si>
    <t>a) průřez uprostřed nosníku</t>
  </si>
  <si>
    <t>čas relaxace (do konce časového úseku A)</t>
  </si>
  <si>
    <t>počáteční napětí pro účely výpočtu relaxace</t>
  </si>
  <si>
    <t>již proběhlé ztráty realxací</t>
  </si>
  <si>
    <r>
      <rPr>
        <sz val="12"/>
        <color indexed="8"/>
        <rFont val="Symbol"/>
        <family val="1"/>
        <charset val="2"/>
      </rPr>
      <t>SDs</t>
    </r>
    <r>
      <rPr>
        <vertAlign val="subscript"/>
        <sz val="11"/>
        <color indexed="8"/>
        <rFont val="Arial Narrow"/>
        <family val="2"/>
        <charset val="238"/>
      </rPr>
      <t>p1,7</t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</si>
  <si>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p,i,tr</t>
    </r>
    <r>
      <rPr>
        <sz val="11"/>
        <color indexed="8"/>
        <rFont val="Arial Narrow"/>
        <family val="2"/>
        <charset val="238"/>
      </rPr>
      <t xml:space="preserve"> + </t>
    </r>
    <r>
      <rPr>
        <sz val="12"/>
        <color indexed="8"/>
        <rFont val="Symbol"/>
        <family val="1"/>
        <charset val="2"/>
      </rPr>
      <t>SDs</t>
    </r>
    <r>
      <rPr>
        <vertAlign val="subscript"/>
        <sz val="11"/>
        <color indexed="8"/>
        <rFont val="Arial Narrow"/>
        <family val="2"/>
        <charset val="238"/>
      </rPr>
      <t>p1,7</t>
    </r>
  </si>
  <si>
    <r>
      <t xml:space="preserve">ekvivalentní čas </t>
    </r>
    <r>
      <rPr>
        <sz val="9"/>
        <color indexed="8"/>
        <rFont val="Arial Narrow"/>
        <family val="2"/>
        <charset val="238"/>
      </rPr>
      <t>(tj. čas potřebný pro již proběhlou relaxaci)</t>
    </r>
  </si>
  <si>
    <r>
      <t>t</t>
    </r>
    <r>
      <rPr>
        <vertAlign val="subscript"/>
        <sz val="11"/>
        <color indexed="8"/>
        <rFont val="Arial Narrow"/>
        <family val="2"/>
        <charset val="238"/>
      </rPr>
      <t>e</t>
    </r>
  </si>
  <si>
    <r>
      <t>t</t>
    </r>
    <r>
      <rPr>
        <vertAlign val="subscript"/>
        <sz val="11"/>
        <color indexed="8"/>
        <rFont val="Arial Narrow"/>
        <family val="2"/>
        <charset val="238"/>
      </rPr>
      <t>A</t>
    </r>
  </si>
  <si>
    <r>
      <t>t</t>
    </r>
    <r>
      <rPr>
        <vertAlign val="subscript"/>
        <sz val="11"/>
        <color indexed="8"/>
        <rFont val="Arial Narrow"/>
        <family val="2"/>
        <charset val="238"/>
      </rPr>
      <t>A</t>
    </r>
    <r>
      <rPr>
        <sz val="11"/>
        <color indexed="8"/>
        <rFont val="Arial Narrow"/>
        <family val="2"/>
        <charset val="238"/>
      </rPr>
      <t xml:space="preserve"> = t</t>
    </r>
    <r>
      <rPr>
        <vertAlign val="subscript"/>
        <sz val="11"/>
        <color indexed="8"/>
        <rFont val="Arial Narrow"/>
        <family val="2"/>
        <charset val="238"/>
      </rPr>
      <t>g+q</t>
    </r>
    <r>
      <rPr>
        <sz val="11"/>
        <color indexed="8"/>
        <rFont val="Arial Narrow"/>
        <family val="2"/>
        <charset val="238"/>
      </rPr>
      <t xml:space="preserve"> - t</t>
    </r>
    <r>
      <rPr>
        <vertAlign val="subscript"/>
        <sz val="11"/>
        <color indexed="8"/>
        <rFont val="Arial Narrow"/>
        <family val="2"/>
        <charset val="238"/>
      </rPr>
      <t>tr</t>
    </r>
  </si>
  <si>
    <t>ztráta relaxací výztuže v intervalu A</t>
  </si>
  <si>
    <r>
      <rPr>
        <b/>
        <sz val="11"/>
        <color indexed="8"/>
        <rFont val="Symbol"/>
        <family val="1"/>
        <charset val="2"/>
      </rPr>
      <t>D</t>
    </r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p,21</t>
    </r>
  </si>
  <si>
    <t>věk betonu na začátku vysychání</t>
  </si>
  <si>
    <t>věk betonu na konci vyšetřovaného okamžiku</t>
  </si>
  <si>
    <r>
      <t>t</t>
    </r>
    <r>
      <rPr>
        <vertAlign val="subscript"/>
        <sz val="11"/>
        <color indexed="8"/>
        <rFont val="Arial Narrow"/>
        <family val="2"/>
        <charset val="238"/>
      </rPr>
      <t>s</t>
    </r>
  </si>
  <si>
    <t>dní</t>
  </si>
  <si>
    <r>
      <t>pozn: uvažováno t</t>
    </r>
    <r>
      <rPr>
        <vertAlign val="subscript"/>
        <sz val="11"/>
        <color indexed="8"/>
        <rFont val="Arial Narrow"/>
        <family val="2"/>
        <charset val="238"/>
      </rPr>
      <t>s</t>
    </r>
    <r>
      <rPr>
        <sz val="11"/>
        <color indexed="8"/>
        <rFont val="Arial Narrow"/>
        <family val="2"/>
        <charset val="238"/>
      </rPr>
      <t xml:space="preserve"> = t</t>
    </r>
    <r>
      <rPr>
        <vertAlign val="subscript"/>
        <sz val="11"/>
        <color indexed="8"/>
        <rFont val="Arial Narrow"/>
        <family val="2"/>
        <charset val="238"/>
      </rPr>
      <t>tr</t>
    </r>
    <r>
      <rPr>
        <sz val="11"/>
        <color indexed="8"/>
        <rFont val="Arial Narrow"/>
        <family val="2"/>
        <charset val="238"/>
      </rPr>
      <t xml:space="preserve"> (tzn. neuvažuje se s proteplováním)</t>
    </r>
  </si>
  <si>
    <r>
      <t xml:space="preserve">střední hodnota tlakové pevnosti betonu </t>
    </r>
    <r>
      <rPr>
        <sz val="9"/>
        <color indexed="8"/>
        <rFont val="Arial Narrow"/>
        <family val="2"/>
        <charset val="238"/>
      </rPr>
      <t>(okamžik t)</t>
    </r>
  </si>
  <si>
    <t>střední pevnost betonu v tlaku v čase transferu</t>
  </si>
  <si>
    <r>
      <t>f</t>
    </r>
    <r>
      <rPr>
        <vertAlign val="subscript"/>
        <sz val="11"/>
        <color indexed="8"/>
        <rFont val="Arial Narrow"/>
        <family val="2"/>
        <charset val="238"/>
      </rPr>
      <t>cm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tr</t>
    </r>
    <r>
      <rPr>
        <sz val="11"/>
        <color indexed="8"/>
        <rFont val="Arial Narrow"/>
        <family val="2"/>
        <charset val="238"/>
      </rPr>
      <t>)</t>
    </r>
  </si>
  <si>
    <r>
      <t>f</t>
    </r>
    <r>
      <rPr>
        <vertAlign val="subscript"/>
        <sz val="11"/>
        <color indexed="8"/>
        <rFont val="Arial Narrow"/>
        <family val="2"/>
        <charset val="238"/>
      </rPr>
      <t>cm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tr</t>
    </r>
    <r>
      <rPr>
        <sz val="11"/>
        <color indexed="8"/>
        <rFont val="Arial Narrow"/>
        <family val="2"/>
        <charset val="238"/>
      </rPr>
      <t xml:space="preserve">) = </t>
    </r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>cc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tr</t>
    </r>
    <r>
      <rPr>
        <sz val="11"/>
        <color indexed="8"/>
        <rFont val="Arial Narrow"/>
        <family val="2"/>
        <charset val="238"/>
      </rPr>
      <t>)* f</t>
    </r>
    <r>
      <rPr>
        <vertAlign val="subscript"/>
        <sz val="11"/>
        <color indexed="8"/>
        <rFont val="Arial Narrow"/>
        <family val="2"/>
        <charset val="238"/>
      </rPr>
      <t>cm</t>
    </r>
  </si>
  <si>
    <t>(3.1)</t>
  </si>
  <si>
    <t>obvod průřezu vystavený vysychání</t>
  </si>
  <si>
    <t>pozn: uvažováno vysychání po celém obvodu</t>
  </si>
  <si>
    <t>skladebná šířka panelu</t>
  </si>
  <si>
    <t>b</t>
  </si>
  <si>
    <t>náhradní výška průřezu</t>
  </si>
  <si>
    <r>
      <t>h</t>
    </r>
    <r>
      <rPr>
        <vertAlign val="subscript"/>
        <sz val="11"/>
        <color indexed="8"/>
        <rFont val="Arial Narrow"/>
        <family val="2"/>
        <charset val="238"/>
      </rPr>
      <t>0</t>
    </r>
  </si>
  <si>
    <r>
      <t>h</t>
    </r>
    <r>
      <rPr>
        <vertAlign val="subscript"/>
        <sz val="11"/>
        <color indexed="8"/>
        <rFont val="Arial Narrow"/>
        <family val="2"/>
        <charset val="238"/>
      </rPr>
      <t>0</t>
    </r>
    <r>
      <rPr>
        <sz val="11"/>
        <color indexed="8"/>
        <rFont val="Arial Narrow"/>
        <family val="2"/>
        <charset val="238"/>
      </rPr>
      <t xml:space="preserve"> = 2*A</t>
    </r>
    <r>
      <rPr>
        <vertAlign val="subscript"/>
        <sz val="11"/>
        <color indexed="8"/>
        <rFont val="Arial Narrow"/>
        <family val="2"/>
        <charset val="238"/>
      </rPr>
      <t>c</t>
    </r>
    <r>
      <rPr>
        <sz val="11"/>
        <color indexed="8"/>
        <rFont val="Arial Narrow"/>
        <family val="2"/>
        <charset val="238"/>
      </rPr>
      <t xml:space="preserve"> / u</t>
    </r>
  </si>
  <si>
    <r>
      <t>součinitel závisící na náhradní výšce průřezu h</t>
    </r>
    <r>
      <rPr>
        <vertAlign val="subscript"/>
        <sz val="11"/>
        <color indexed="8"/>
        <rFont val="Arial Narrow"/>
        <family val="2"/>
        <charset val="238"/>
      </rPr>
      <t>0</t>
    </r>
  </si>
  <si>
    <r>
      <t>k</t>
    </r>
    <r>
      <rPr>
        <vertAlign val="subscript"/>
        <sz val="11"/>
        <color indexed="8"/>
        <rFont val="Arial Narrow"/>
        <family val="2"/>
        <charset val="238"/>
      </rPr>
      <t>h</t>
    </r>
  </si>
  <si>
    <t>(dle tab 3.3)</t>
  </si>
  <si>
    <t>pozn: dle přílohy B.2 normy [1]</t>
  </si>
  <si>
    <t>třída druhu cementu</t>
  </si>
  <si>
    <t>Druh použitého cementu</t>
  </si>
  <si>
    <t>použitý cement</t>
  </si>
  <si>
    <r>
      <t xml:space="preserve">S </t>
    </r>
    <r>
      <rPr>
        <sz val="9"/>
        <color indexed="8"/>
        <rFont val="Calibri"/>
        <family val="2"/>
        <charset val="238"/>
      </rPr>
      <t>(třída CEM 32,5N)</t>
    </r>
  </si>
  <si>
    <r>
      <t>N</t>
    </r>
    <r>
      <rPr>
        <sz val="9"/>
        <color indexed="8"/>
        <rFont val="Calibri"/>
        <family val="2"/>
        <charset val="238"/>
      </rPr>
      <t xml:space="preserve"> (třída CEM 32,5R; CEM 42,5N)</t>
    </r>
  </si>
  <si>
    <r>
      <t xml:space="preserve">R </t>
    </r>
    <r>
      <rPr>
        <sz val="9"/>
        <color indexed="8"/>
        <rFont val="Calibri"/>
        <family val="2"/>
        <charset val="238"/>
      </rPr>
      <t>(CEM 42,5R; CEM 52,5N; CEM 52,5R)</t>
    </r>
  </si>
  <si>
    <t>souč S</t>
  </si>
  <si>
    <t>alfads1</t>
  </si>
  <si>
    <t>alfads2</t>
  </si>
  <si>
    <t>třída cementu</t>
  </si>
  <si>
    <t>součinitel</t>
  </si>
  <si>
    <r>
      <rPr>
        <sz val="12"/>
        <color indexed="8"/>
        <rFont val="Symbol"/>
        <family val="1"/>
        <charset val="2"/>
      </rPr>
      <t>a</t>
    </r>
    <r>
      <rPr>
        <vertAlign val="subscript"/>
        <sz val="11"/>
        <color indexed="8"/>
        <rFont val="Arial Narrow"/>
        <family val="2"/>
        <charset val="238"/>
      </rPr>
      <t>ds1</t>
    </r>
  </si>
  <si>
    <r>
      <rPr>
        <sz val="12"/>
        <color indexed="8"/>
        <rFont val="Symbol"/>
        <family val="1"/>
        <charset val="2"/>
      </rPr>
      <t>a</t>
    </r>
    <r>
      <rPr>
        <vertAlign val="subscript"/>
        <sz val="11"/>
        <color indexed="8"/>
        <rFont val="Arial Narrow"/>
        <family val="2"/>
        <charset val="238"/>
      </rPr>
      <t>ds2</t>
    </r>
  </si>
  <si>
    <t>relativní vlhkost okolního prostředí</t>
  </si>
  <si>
    <t>RH</t>
  </si>
  <si>
    <t>vliv vlhkosti na smršťování</t>
  </si>
  <si>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>RH</t>
    </r>
  </si>
  <si>
    <t>(B.12)</t>
  </si>
  <si>
    <t>(B.11)</t>
  </si>
  <si>
    <t>základní poměrné přetvoření od smršťování</t>
  </si>
  <si>
    <t>základní poměrné přetvoření od smršťování vysycháním</t>
  </si>
  <si>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cd,0</t>
    </r>
  </si>
  <si>
    <t>‰</t>
  </si>
  <si>
    <t>časová funkce vývoje smršťování</t>
  </si>
  <si>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>ds</t>
    </r>
    <r>
      <rPr>
        <sz val="9"/>
        <color indexed="8"/>
        <rFont val="Arial Narrow"/>
        <family val="2"/>
        <charset val="238"/>
      </rPr>
      <t>(t,t</t>
    </r>
    <r>
      <rPr>
        <vertAlign val="subscript"/>
        <sz val="9"/>
        <color indexed="8"/>
        <rFont val="Arial Narrow"/>
        <family val="2"/>
        <charset val="238"/>
      </rPr>
      <t>s</t>
    </r>
    <r>
      <rPr>
        <sz val="9"/>
        <color indexed="8"/>
        <rFont val="Arial Narrow"/>
        <family val="2"/>
        <charset val="238"/>
      </rPr>
      <t>)</t>
    </r>
  </si>
  <si>
    <t>(3.10)</t>
  </si>
  <si>
    <t>poměrné přetvoření od vysychání</t>
  </si>
  <si>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cd</t>
    </r>
    <r>
      <rPr>
        <sz val="11"/>
        <color indexed="8"/>
        <rFont val="Arial Narrow"/>
        <family val="2"/>
        <charset val="238"/>
      </rPr>
      <t>(t)</t>
    </r>
  </si>
  <si>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cd</t>
    </r>
    <r>
      <rPr>
        <sz val="11"/>
        <color indexed="8"/>
        <rFont val="Arial Narrow"/>
        <family val="2"/>
        <charset val="238"/>
      </rPr>
      <t xml:space="preserve">(t) = </t>
    </r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>ds</t>
    </r>
    <r>
      <rPr>
        <sz val="11"/>
        <color indexed="8"/>
        <rFont val="Arial Narrow"/>
        <family val="2"/>
        <charset val="238"/>
      </rPr>
      <t>(t,t</t>
    </r>
    <r>
      <rPr>
        <vertAlign val="subscript"/>
        <sz val="11"/>
        <color indexed="8"/>
        <rFont val="Arial Narrow"/>
        <family val="2"/>
        <charset val="238"/>
      </rPr>
      <t>s</t>
    </r>
    <r>
      <rPr>
        <sz val="11"/>
        <color indexed="8"/>
        <rFont val="Arial Narrow"/>
        <family val="2"/>
        <charset val="238"/>
      </rPr>
      <t>) * k</t>
    </r>
    <r>
      <rPr>
        <vertAlign val="subscript"/>
        <sz val="11"/>
        <color indexed="8"/>
        <rFont val="Arial Narrow"/>
        <family val="2"/>
        <charset val="238"/>
      </rPr>
      <t>h</t>
    </r>
    <r>
      <rPr>
        <sz val="11"/>
        <color indexed="8"/>
        <rFont val="Arial Narrow"/>
        <family val="2"/>
        <charset val="238"/>
      </rPr>
      <t xml:space="preserve"> * </t>
    </r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cd,0</t>
    </r>
  </si>
  <si>
    <t>(3.9)</t>
  </si>
  <si>
    <t>poměrné přetvoření od autogenního vysychání</t>
  </si>
  <si>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ca</t>
    </r>
  </si>
  <si>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ca</t>
    </r>
    <r>
      <rPr>
        <sz val="11"/>
        <color indexed="8"/>
        <rFont val="Arial Narrow"/>
        <family val="2"/>
        <charset val="238"/>
      </rPr>
      <t>(∞)</t>
    </r>
    <r>
      <rPr>
        <sz val="11"/>
        <color indexed="8"/>
        <rFont val="Cambria"/>
        <family val="1"/>
        <charset val="238"/>
      </rPr>
      <t xml:space="preserve"> </t>
    </r>
    <r>
      <rPr>
        <sz val="11"/>
        <color indexed="8"/>
        <rFont val="Arial Narrow"/>
        <family val="2"/>
        <charset val="238"/>
      </rPr>
      <t>= 2,5*(f</t>
    </r>
    <r>
      <rPr>
        <vertAlign val="subscript"/>
        <sz val="11"/>
        <color indexed="8"/>
        <rFont val="Arial Narrow"/>
        <family val="2"/>
        <charset val="238"/>
      </rPr>
      <t>ck</t>
    </r>
    <r>
      <rPr>
        <sz val="11"/>
        <color indexed="8"/>
        <rFont val="Arial Narrow"/>
        <family val="2"/>
        <charset val="238"/>
      </rPr>
      <t>-10)*10</t>
    </r>
    <r>
      <rPr>
        <vertAlign val="superscript"/>
        <sz val="11"/>
        <color indexed="8"/>
        <rFont val="Arial Narrow"/>
        <family val="2"/>
        <charset val="238"/>
      </rPr>
      <t>-6</t>
    </r>
  </si>
  <si>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>as</t>
    </r>
    <r>
      <rPr>
        <sz val="9"/>
        <color indexed="8"/>
        <rFont val="Arial Narrow"/>
        <family val="2"/>
        <charset val="238"/>
      </rPr>
      <t>(t</t>
    </r>
    <r>
      <rPr>
        <sz val="9"/>
        <color indexed="8"/>
        <rFont val="Arial Narrow"/>
        <family val="2"/>
        <charset val="238"/>
      </rPr>
      <t>)</t>
    </r>
  </si>
  <si>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>as</t>
    </r>
    <r>
      <rPr>
        <sz val="9"/>
        <color indexed="8"/>
        <rFont val="Arial Narrow"/>
        <family val="2"/>
        <charset val="238"/>
      </rPr>
      <t xml:space="preserve">(t) </t>
    </r>
    <r>
      <rPr>
        <sz val="11"/>
        <color indexed="8"/>
        <rFont val="Arial Narrow"/>
        <family val="2"/>
        <charset val="238"/>
      </rPr>
      <t>= 1 - exp(-0,2  * t</t>
    </r>
    <r>
      <rPr>
        <vertAlign val="superscript"/>
        <sz val="11"/>
        <color indexed="8"/>
        <rFont val="Arial Narrow"/>
        <family val="2"/>
        <charset val="238"/>
      </rPr>
      <t>0,5</t>
    </r>
    <r>
      <rPr>
        <sz val="11"/>
        <color indexed="8"/>
        <rFont val="Arial Narrow"/>
        <family val="2"/>
        <charset val="238"/>
      </rPr>
      <t>)</t>
    </r>
  </si>
  <si>
    <t>(3.12)</t>
  </si>
  <si>
    <t>(3.13)</t>
  </si>
  <si>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ca</t>
    </r>
    <r>
      <rPr>
        <sz val="11"/>
        <color indexed="8"/>
        <rFont val="Arial Narrow"/>
        <family val="2"/>
        <charset val="238"/>
      </rPr>
      <t>(t)</t>
    </r>
  </si>
  <si>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ca</t>
    </r>
    <r>
      <rPr>
        <sz val="11"/>
        <color indexed="8"/>
        <rFont val="Arial Narrow"/>
        <family val="2"/>
        <charset val="238"/>
      </rPr>
      <t xml:space="preserve">(t) = </t>
    </r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>as</t>
    </r>
    <r>
      <rPr>
        <sz val="9"/>
        <color indexed="8"/>
        <rFont val="Arial Narrow"/>
        <family val="2"/>
        <charset val="238"/>
      </rPr>
      <t xml:space="preserve">(t) </t>
    </r>
    <r>
      <rPr>
        <sz val="11"/>
        <color indexed="8"/>
        <rFont val="Arial Narrow"/>
        <family val="2"/>
        <charset val="238"/>
      </rPr>
      <t xml:space="preserve">* </t>
    </r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ca</t>
    </r>
    <r>
      <rPr>
        <sz val="11"/>
        <color indexed="8"/>
        <rFont val="Arial Narrow"/>
        <family val="2"/>
        <charset val="238"/>
      </rPr>
      <t>(</t>
    </r>
    <r>
      <rPr>
        <sz val="11"/>
        <color indexed="8"/>
        <rFont val="Arial"/>
        <family val="2"/>
        <charset val="238"/>
      </rPr>
      <t>∞</t>
    </r>
    <r>
      <rPr>
        <sz val="11"/>
        <color indexed="8"/>
        <rFont val="Arial Narrow"/>
        <family val="2"/>
        <charset val="238"/>
      </rPr>
      <t>)</t>
    </r>
  </si>
  <si>
    <t>(3.11)</t>
  </si>
  <si>
    <t>celkové poměrné přetvoření od smršťování</t>
  </si>
  <si>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cs</t>
    </r>
  </si>
  <si>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cs</t>
    </r>
    <r>
      <rPr>
        <sz val="11"/>
        <color indexed="8"/>
        <rFont val="Arial Narrow"/>
        <family val="2"/>
        <charset val="238"/>
      </rPr>
      <t xml:space="preserve"> = </t>
    </r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cd</t>
    </r>
    <r>
      <rPr>
        <sz val="9"/>
        <color indexed="8"/>
        <rFont val="Arial Narrow"/>
        <family val="2"/>
        <charset val="238"/>
      </rPr>
      <t xml:space="preserve"> </t>
    </r>
    <r>
      <rPr>
        <sz val="11"/>
        <color indexed="8"/>
        <rFont val="Arial Narrow"/>
        <family val="2"/>
        <charset val="238"/>
      </rPr>
      <t xml:space="preserve">+ </t>
    </r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ca</t>
    </r>
    <r>
      <rPr>
        <sz val="11"/>
        <color indexed="8"/>
        <rFont val="Arial Narrow"/>
        <family val="2"/>
        <charset val="238"/>
      </rPr>
      <t/>
    </r>
  </si>
  <si>
    <t>(3.8)</t>
  </si>
  <si>
    <t>ztráta smršťováním betonu v intervalu A</t>
  </si>
  <si>
    <t>2.2 Ztráta smršťováním betonu (dle [1] 3.1.4)</t>
  </si>
  <si>
    <r>
      <rPr>
        <b/>
        <sz val="11"/>
        <color indexed="8"/>
        <rFont val="Symbol"/>
        <family val="1"/>
        <charset val="2"/>
      </rPr>
      <t>D</t>
    </r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p,22</t>
    </r>
  </si>
  <si>
    <r>
      <rPr>
        <sz val="11"/>
        <color indexed="8"/>
        <rFont val="Symbol"/>
        <family val="1"/>
        <charset val="2"/>
      </rPr>
      <t>D</t>
    </r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p,22</t>
    </r>
    <r>
      <rPr>
        <sz val="11"/>
        <color indexed="8"/>
        <rFont val="Arial Narrow"/>
        <family val="2"/>
        <charset val="238"/>
      </rPr>
      <t xml:space="preserve"> = - 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 xml:space="preserve"> * </t>
    </r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cs</t>
    </r>
  </si>
  <si>
    <t>2.3 Ztráta dotvarováním betonu (dle [1], příloha B)</t>
  </si>
  <si>
    <t>čas na začátku působení zatížení v intervalu</t>
  </si>
  <si>
    <t>čas na konci intervalu</t>
  </si>
  <si>
    <t>působící zatížení v časovém intervalu A</t>
  </si>
  <si>
    <t>moment od vlastní váhy prvku</t>
  </si>
  <si>
    <t>normálová síla od předpětí</t>
  </si>
  <si>
    <t>pozn.: působí pouze vlastní váha (prvek uložen na skládce)</t>
  </si>
  <si>
    <r>
      <t>N</t>
    </r>
    <r>
      <rPr>
        <vertAlign val="subscript"/>
        <sz val="11"/>
        <color indexed="8"/>
        <rFont val="Arial Narrow"/>
        <family val="2"/>
        <charset val="238"/>
      </rPr>
      <t>p,tr</t>
    </r>
    <r>
      <rPr>
        <sz val="9"/>
        <color indexed="8"/>
        <rFont val="Arial Narrow"/>
        <family val="2"/>
        <charset val="238"/>
      </rPr>
      <t>(L/2)</t>
    </r>
  </si>
  <si>
    <t>pozn.: s uvažováním ztráty el. deformací prvku (tj. předpětí působí pouze na betonový průřez) a vlivu vlastní v. na změnu předpětí</t>
  </si>
  <si>
    <t>moment od předpětí k těžišti bet. průř</t>
  </si>
  <si>
    <r>
      <t>M</t>
    </r>
    <r>
      <rPr>
        <vertAlign val="subscript"/>
        <sz val="11"/>
        <color indexed="8"/>
        <rFont val="Arial Narrow"/>
        <family val="2"/>
        <charset val="238"/>
      </rPr>
      <t>p,tr</t>
    </r>
    <r>
      <rPr>
        <sz val="9"/>
        <color indexed="8"/>
        <rFont val="Arial Narrow"/>
        <family val="2"/>
        <charset val="238"/>
      </rPr>
      <t>(L/2)</t>
    </r>
  </si>
  <si>
    <t>moment setrvačnosti k těžišti bet. průřezu</t>
  </si>
  <si>
    <r>
      <t xml:space="preserve">napětí v úrovni výztuže </t>
    </r>
    <r>
      <rPr>
        <sz val="9"/>
        <color indexed="8"/>
        <rFont val="Arial Narrow"/>
        <family val="2"/>
        <charset val="238"/>
      </rPr>
      <t>vyvozené vlastní váhou a předpětím</t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</si>
  <si>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cp,g</t>
    </r>
  </si>
  <si>
    <t>součinitel dotvarování</t>
  </si>
  <si>
    <t>součinitel vlivu pevnosti betonu</t>
  </si>
  <si>
    <r>
      <rPr>
        <sz val="12"/>
        <color indexed="8"/>
        <rFont val="Symbol"/>
        <family val="1"/>
        <charset val="2"/>
      </rPr>
      <t>a</t>
    </r>
    <r>
      <rPr>
        <vertAlign val="subscript"/>
        <sz val="11"/>
        <color indexed="8"/>
        <rFont val="Arial Narrow"/>
        <family val="2"/>
        <charset val="238"/>
      </rPr>
      <t>1</t>
    </r>
  </si>
  <si>
    <r>
      <rPr>
        <sz val="12"/>
        <color indexed="8"/>
        <rFont val="Symbol"/>
        <family val="1"/>
        <charset val="2"/>
      </rPr>
      <t>a</t>
    </r>
    <r>
      <rPr>
        <vertAlign val="subscript"/>
        <sz val="11"/>
        <color indexed="8"/>
        <rFont val="Arial Narrow"/>
        <family val="2"/>
        <charset val="238"/>
      </rPr>
      <t>3</t>
    </r>
  </si>
  <si>
    <t>(B.8c)</t>
  </si>
  <si>
    <t>součinitel vlivu relativní vlhkosti</t>
  </si>
  <si>
    <r>
      <rPr>
        <sz val="12"/>
        <color indexed="8"/>
        <rFont val="Symbol"/>
        <family val="1"/>
        <charset val="2"/>
      </rPr>
      <t>f</t>
    </r>
    <r>
      <rPr>
        <vertAlign val="subscript"/>
        <sz val="11"/>
        <color indexed="8"/>
        <rFont val="Arial Narrow"/>
        <family val="2"/>
        <charset val="238"/>
      </rPr>
      <t>RH</t>
    </r>
  </si>
  <si>
    <t>(B.3b)</t>
  </si>
  <si>
    <t>(B.6)</t>
  </si>
  <si>
    <r>
      <t>součinitel dotvarování (platí pro betony s f</t>
    </r>
    <r>
      <rPr>
        <u/>
        <vertAlign val="subscript"/>
        <sz val="11"/>
        <color indexed="8"/>
        <rFont val="Arial Narrow"/>
        <family val="2"/>
        <charset val="238"/>
      </rPr>
      <t>cm</t>
    </r>
    <r>
      <rPr>
        <u/>
        <sz val="11"/>
        <color indexed="8"/>
        <rFont val="Arial Narrow"/>
        <family val="2"/>
        <charset val="238"/>
      </rPr>
      <t>&gt;35MPa)</t>
    </r>
  </si>
  <si>
    <r>
      <rPr>
        <sz val="12"/>
        <color indexed="8"/>
        <rFont val="Symbol"/>
        <family val="1"/>
        <charset val="2"/>
      </rPr>
      <t>b</t>
    </r>
    <r>
      <rPr>
        <sz val="9"/>
        <color indexed="8"/>
        <rFont val="Arial Narrow"/>
        <family val="2"/>
        <charset val="238"/>
      </rPr>
      <t>(f</t>
    </r>
    <r>
      <rPr>
        <vertAlign val="subscript"/>
        <sz val="9"/>
        <color indexed="8"/>
        <rFont val="Arial Narrow"/>
        <family val="2"/>
        <charset val="238"/>
      </rPr>
      <t>cm</t>
    </r>
    <r>
      <rPr>
        <sz val="9"/>
        <color indexed="8"/>
        <rFont val="Arial Narrow"/>
        <family val="2"/>
        <charset val="238"/>
      </rPr>
      <t>)</t>
    </r>
  </si>
  <si>
    <r>
      <rPr>
        <sz val="12"/>
        <color indexed="8"/>
        <rFont val="Symbol"/>
        <family val="1"/>
        <charset val="2"/>
      </rPr>
      <t>b</t>
    </r>
    <r>
      <rPr>
        <sz val="9"/>
        <color indexed="8"/>
        <rFont val="Arial Narrow"/>
        <family val="2"/>
        <charset val="238"/>
      </rPr>
      <t>(f</t>
    </r>
    <r>
      <rPr>
        <vertAlign val="subscript"/>
        <sz val="9"/>
        <color indexed="8"/>
        <rFont val="Arial Narrow"/>
        <family val="2"/>
        <charset val="238"/>
      </rPr>
      <t>cm</t>
    </r>
    <r>
      <rPr>
        <sz val="9"/>
        <color indexed="8"/>
        <rFont val="Arial Narrow"/>
        <family val="2"/>
        <charset val="238"/>
      </rPr>
      <t>)</t>
    </r>
    <r>
      <rPr>
        <sz val="11"/>
        <color indexed="8"/>
        <rFont val="Arial Narrow"/>
        <family val="2"/>
        <charset val="238"/>
      </rPr>
      <t xml:space="preserve"> = 16,8 / (f</t>
    </r>
    <r>
      <rPr>
        <vertAlign val="subscript"/>
        <sz val="11"/>
        <color indexed="8"/>
        <rFont val="Arial Narrow"/>
        <family val="2"/>
        <charset val="238"/>
      </rPr>
      <t>cm</t>
    </r>
    <r>
      <rPr>
        <sz val="11"/>
        <color indexed="8"/>
        <rFont val="Arial Narrow"/>
        <family val="2"/>
        <charset val="238"/>
      </rPr>
      <t>)</t>
    </r>
    <r>
      <rPr>
        <vertAlign val="superscript"/>
        <sz val="11"/>
        <color indexed="8"/>
        <rFont val="Arial Narrow"/>
        <family val="2"/>
        <charset val="238"/>
      </rPr>
      <t>0,5</t>
    </r>
  </si>
  <si>
    <t>(B.4)</t>
  </si>
  <si>
    <t>vliv druhu cementu (zvýšení stáří betonu)</t>
  </si>
  <si>
    <r>
      <t>t</t>
    </r>
    <r>
      <rPr>
        <vertAlign val="subscript"/>
        <sz val="11"/>
        <color indexed="8"/>
        <rFont val="Arial Narrow"/>
        <family val="2"/>
        <charset val="238"/>
      </rPr>
      <t>0</t>
    </r>
  </si>
  <si>
    <t>stáří betonu upravené s přihlédnutím vlivu teploty</t>
  </si>
  <si>
    <r>
      <t>t</t>
    </r>
    <r>
      <rPr>
        <vertAlign val="subscript"/>
        <sz val="11"/>
        <color indexed="8"/>
        <rFont val="Arial Narrow"/>
        <family val="2"/>
        <charset val="238"/>
      </rPr>
      <t>0,T</t>
    </r>
  </si>
  <si>
    <t>dne</t>
  </si>
  <si>
    <t>pozn.: neuvažuje se s proteplováním nebo promrznutím</t>
  </si>
  <si>
    <r>
      <t>t</t>
    </r>
    <r>
      <rPr>
        <vertAlign val="subscript"/>
        <sz val="11"/>
        <color indexed="8"/>
        <rFont val="Arial Narrow"/>
        <family val="2"/>
        <charset val="238"/>
      </rPr>
      <t>0</t>
    </r>
  </si>
  <si>
    <t>mocnitel v závislosti na druhu cementu</t>
  </si>
  <si>
    <r>
      <t>t</t>
    </r>
    <r>
      <rPr>
        <vertAlign val="subscript"/>
        <sz val="11"/>
        <color indexed="8"/>
        <rFont val="Arial Narrow"/>
        <family val="2"/>
        <charset val="238"/>
      </rPr>
      <t>0</t>
    </r>
    <r>
      <rPr>
        <sz val="11"/>
        <color indexed="8"/>
        <rFont val="Arial Narrow"/>
        <family val="2"/>
        <charset val="238"/>
      </rPr>
      <t xml:space="preserve"> = t</t>
    </r>
    <r>
      <rPr>
        <vertAlign val="subscript"/>
        <sz val="11"/>
        <color indexed="8"/>
        <rFont val="Arial Narrow"/>
        <family val="2"/>
        <charset val="238"/>
      </rPr>
      <t>0,T</t>
    </r>
    <r>
      <rPr>
        <sz val="11"/>
        <color indexed="8"/>
        <rFont val="Arial Narrow"/>
        <family val="2"/>
        <charset val="238"/>
      </rPr>
      <t xml:space="preserve"> * (9/(2+t</t>
    </r>
    <r>
      <rPr>
        <vertAlign val="subscript"/>
        <sz val="11"/>
        <color indexed="8"/>
        <rFont val="Arial Narrow"/>
        <family val="2"/>
        <charset val="238"/>
      </rPr>
      <t>0,T</t>
    </r>
    <r>
      <rPr>
        <vertAlign val="superscript"/>
        <sz val="11"/>
        <color indexed="8"/>
        <rFont val="Arial Narrow"/>
        <family val="2"/>
        <charset val="238"/>
      </rPr>
      <t>1,2</t>
    </r>
    <r>
      <rPr>
        <sz val="11"/>
        <color indexed="8"/>
        <rFont val="Arial Narrow"/>
        <family val="2"/>
        <charset val="238"/>
      </rPr>
      <t>)+1)</t>
    </r>
    <r>
      <rPr>
        <vertAlign val="superscript"/>
        <sz val="11"/>
        <color indexed="8"/>
        <rFont val="Symbol"/>
        <family val="1"/>
        <charset val="2"/>
      </rPr>
      <t>a</t>
    </r>
    <r>
      <rPr>
        <sz val="11"/>
        <color indexed="8"/>
        <rFont val="Arial Narrow"/>
        <family val="2"/>
        <charset val="238"/>
      </rPr>
      <t xml:space="preserve"> </t>
    </r>
    <r>
      <rPr>
        <sz val="11"/>
        <color indexed="8"/>
        <rFont val="Arial"/>
        <family val="2"/>
        <charset val="238"/>
      </rPr>
      <t>≥</t>
    </r>
    <r>
      <rPr>
        <sz val="11"/>
        <color indexed="8"/>
        <rFont val="Arial Narrow"/>
        <family val="2"/>
        <charset val="238"/>
      </rPr>
      <t xml:space="preserve"> 0,5</t>
    </r>
  </si>
  <si>
    <r>
      <t xml:space="preserve">součinitel vlivu stáří betonu </t>
    </r>
    <r>
      <rPr>
        <sz val="9"/>
        <color indexed="8"/>
        <rFont val="Arial Narrow"/>
        <family val="2"/>
        <charset val="238"/>
      </rPr>
      <t>(v čase vnesení zatížení)</t>
    </r>
  </si>
  <si>
    <r>
      <t>součinitel zohledňující typ předpínací výztuže na f</t>
    </r>
    <r>
      <rPr>
        <vertAlign val="subscript"/>
        <sz val="11"/>
        <color indexed="8"/>
        <rFont val="Arial Narrow"/>
        <family val="2"/>
        <charset val="238"/>
      </rPr>
      <t>bpt</t>
    </r>
  </si>
  <si>
    <r>
      <rPr>
        <sz val="12"/>
        <color indexed="8"/>
        <rFont val="Symbol"/>
        <family val="1"/>
        <charset val="2"/>
      </rPr>
      <t>b</t>
    </r>
    <r>
      <rPr>
        <sz val="9"/>
        <color indexed="8"/>
        <rFont val="Arial Narrow"/>
        <family val="2"/>
        <charset val="238"/>
      </rPr>
      <t>(t</t>
    </r>
    <r>
      <rPr>
        <vertAlign val="subscript"/>
        <sz val="9"/>
        <color indexed="8"/>
        <rFont val="Arial Narrow"/>
        <family val="2"/>
        <charset val="238"/>
      </rPr>
      <t>0</t>
    </r>
    <r>
      <rPr>
        <sz val="9"/>
        <color indexed="8"/>
        <rFont val="Arial Narrow"/>
        <family val="2"/>
        <charset val="238"/>
      </rPr>
      <t>)</t>
    </r>
  </si>
  <si>
    <t>(B.9)</t>
  </si>
  <si>
    <r>
      <rPr>
        <sz val="12"/>
        <color indexed="8"/>
        <rFont val="Symbol"/>
        <family val="1"/>
        <charset val="2"/>
      </rPr>
      <t>b</t>
    </r>
    <r>
      <rPr>
        <sz val="9"/>
        <color indexed="8"/>
        <rFont val="Arial Narrow"/>
        <family val="2"/>
        <charset val="238"/>
      </rPr>
      <t>(t</t>
    </r>
    <r>
      <rPr>
        <vertAlign val="subscript"/>
        <sz val="9"/>
        <color indexed="8"/>
        <rFont val="Arial Narrow"/>
        <family val="2"/>
        <charset val="238"/>
      </rPr>
      <t>0</t>
    </r>
    <r>
      <rPr>
        <sz val="9"/>
        <color indexed="8"/>
        <rFont val="Arial Narrow"/>
        <family val="2"/>
        <charset val="238"/>
      </rPr>
      <t>)</t>
    </r>
    <r>
      <rPr>
        <sz val="11"/>
        <color indexed="8"/>
        <rFont val="Arial Narrow"/>
        <family val="2"/>
        <charset val="238"/>
      </rPr>
      <t xml:space="preserve"> = 1 / (0,1+t</t>
    </r>
    <r>
      <rPr>
        <vertAlign val="subscript"/>
        <sz val="11"/>
        <color indexed="8"/>
        <rFont val="Arial Narrow"/>
        <family val="2"/>
        <charset val="238"/>
      </rPr>
      <t>0</t>
    </r>
    <r>
      <rPr>
        <vertAlign val="superscript"/>
        <sz val="11"/>
        <color indexed="8"/>
        <rFont val="Arial Narrow"/>
        <family val="2"/>
        <charset val="238"/>
      </rPr>
      <t>0,2</t>
    </r>
    <r>
      <rPr>
        <sz val="11"/>
        <color indexed="8"/>
        <rFont val="Arial Narrow"/>
        <family val="2"/>
        <charset val="238"/>
      </rPr>
      <t>)</t>
    </r>
  </si>
  <si>
    <t>(B.5)</t>
  </si>
  <si>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>H</t>
    </r>
  </si>
  <si>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>H</t>
    </r>
    <r>
      <rPr>
        <sz val="11"/>
        <color indexed="8"/>
        <rFont val="Arial Narrow"/>
        <family val="2"/>
        <charset val="238"/>
      </rPr>
      <t xml:space="preserve"> = 1,5 * [1+(0,012  * RH)</t>
    </r>
    <r>
      <rPr>
        <vertAlign val="superscript"/>
        <sz val="11"/>
        <color indexed="8"/>
        <rFont val="Arial Narrow"/>
        <family val="2"/>
        <charset val="238"/>
      </rPr>
      <t>18</t>
    </r>
    <r>
      <rPr>
        <sz val="11"/>
        <color indexed="8"/>
        <rFont val="Arial Narrow"/>
        <family val="2"/>
        <charset val="238"/>
      </rPr>
      <t>] * h</t>
    </r>
    <r>
      <rPr>
        <vertAlign val="subscript"/>
        <sz val="11"/>
        <color indexed="8"/>
        <rFont val="Arial Narrow"/>
        <family val="2"/>
        <charset val="238"/>
      </rPr>
      <t>0</t>
    </r>
    <r>
      <rPr>
        <sz val="11"/>
        <color indexed="8"/>
        <rFont val="Arial Narrow"/>
        <family val="2"/>
        <charset val="238"/>
      </rPr>
      <t xml:space="preserve"> + 250*</t>
    </r>
    <r>
      <rPr>
        <sz val="12"/>
        <color indexed="8"/>
        <rFont val="Symbol"/>
        <family val="1"/>
        <charset val="2"/>
      </rPr>
      <t>a</t>
    </r>
    <r>
      <rPr>
        <vertAlign val="subscript"/>
        <sz val="11"/>
        <color indexed="8"/>
        <rFont val="Arial Narrow"/>
        <family val="2"/>
        <charset val="238"/>
      </rPr>
      <t>3</t>
    </r>
  </si>
  <si>
    <t>(B.8b)</t>
  </si>
  <si>
    <t>součinitel časového rozvoje dotvarování</t>
  </si>
  <si>
    <t>(B.7)</t>
  </si>
  <si>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>c</t>
    </r>
    <r>
      <rPr>
        <sz val="9"/>
        <color indexed="8"/>
        <rFont val="Arial Narrow"/>
        <family val="2"/>
        <charset val="238"/>
      </rPr>
      <t>(t,t</t>
    </r>
    <r>
      <rPr>
        <vertAlign val="subscript"/>
        <sz val="9"/>
        <color indexed="8"/>
        <rFont val="Arial Narrow"/>
        <family val="2"/>
        <charset val="238"/>
      </rPr>
      <t>0</t>
    </r>
    <r>
      <rPr>
        <sz val="9"/>
        <color indexed="8"/>
        <rFont val="Arial Narrow"/>
        <family val="2"/>
        <charset val="238"/>
      </rPr>
      <t>)</t>
    </r>
  </si>
  <si>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>c</t>
    </r>
    <r>
      <rPr>
        <sz val="9"/>
        <color indexed="8"/>
        <rFont val="Arial Narrow"/>
        <family val="2"/>
        <charset val="238"/>
      </rPr>
      <t>(t,t</t>
    </r>
    <r>
      <rPr>
        <vertAlign val="subscript"/>
        <sz val="9"/>
        <color indexed="8"/>
        <rFont val="Arial Narrow"/>
        <family val="2"/>
        <charset val="238"/>
      </rPr>
      <t>0</t>
    </r>
    <r>
      <rPr>
        <sz val="9"/>
        <color indexed="8"/>
        <rFont val="Arial Narrow"/>
        <family val="2"/>
        <charset val="238"/>
      </rPr>
      <t>)</t>
    </r>
    <r>
      <rPr>
        <sz val="11"/>
        <color indexed="8"/>
        <rFont val="Arial Narrow"/>
        <family val="2"/>
        <charset val="238"/>
      </rPr>
      <t xml:space="preserve"> = [(t - t</t>
    </r>
    <r>
      <rPr>
        <vertAlign val="subscript"/>
        <sz val="11"/>
        <color indexed="8"/>
        <rFont val="Arial Narrow"/>
        <family val="2"/>
        <charset val="238"/>
      </rPr>
      <t>0</t>
    </r>
    <r>
      <rPr>
        <sz val="11"/>
        <color indexed="8"/>
        <rFont val="Arial Narrow"/>
        <family val="2"/>
        <charset val="238"/>
      </rPr>
      <t>) / (</t>
    </r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 xml:space="preserve">H </t>
    </r>
    <r>
      <rPr>
        <sz val="11"/>
        <color indexed="8"/>
        <rFont val="Arial Narrow"/>
        <family val="2"/>
        <charset val="238"/>
      </rPr>
      <t>+ t - t</t>
    </r>
    <r>
      <rPr>
        <vertAlign val="subscript"/>
        <sz val="11"/>
        <color indexed="8"/>
        <rFont val="Arial Narrow"/>
        <family val="2"/>
        <charset val="238"/>
      </rPr>
      <t>0</t>
    </r>
    <r>
      <rPr>
        <sz val="11"/>
        <color indexed="8"/>
        <rFont val="Arial Narrow"/>
        <family val="2"/>
        <charset val="238"/>
      </rPr>
      <t>)]</t>
    </r>
    <r>
      <rPr>
        <vertAlign val="superscript"/>
        <sz val="11"/>
        <color indexed="8"/>
        <rFont val="Arial Narrow"/>
        <family val="2"/>
        <charset val="238"/>
      </rPr>
      <t>0,3</t>
    </r>
  </si>
  <si>
    <r>
      <t>t</t>
    </r>
    <r>
      <rPr>
        <vertAlign val="subscript"/>
        <sz val="11"/>
        <color indexed="8"/>
        <rFont val="Arial Narrow"/>
        <family val="2"/>
        <charset val="238"/>
      </rPr>
      <t>g+q</t>
    </r>
    <r>
      <rPr>
        <sz val="11"/>
        <color indexed="8"/>
        <rFont val="Arial Narrow"/>
        <family val="2"/>
        <charset val="238"/>
      </rPr>
      <t xml:space="preserve"> = t</t>
    </r>
  </si>
  <si>
    <t>základní součinitel dotvarování</t>
  </si>
  <si>
    <r>
      <rPr>
        <sz val="12"/>
        <color indexed="8"/>
        <rFont val="Symbol"/>
        <family val="1"/>
        <charset val="2"/>
      </rPr>
      <t>f</t>
    </r>
    <r>
      <rPr>
        <vertAlign val="subscript"/>
        <sz val="11"/>
        <color indexed="8"/>
        <rFont val="Arial Narrow"/>
        <family val="2"/>
        <charset val="238"/>
      </rPr>
      <t>0</t>
    </r>
  </si>
  <si>
    <r>
      <rPr>
        <sz val="12"/>
        <color indexed="8"/>
        <rFont val="Symbol"/>
        <family val="1"/>
        <charset val="2"/>
      </rPr>
      <t>f</t>
    </r>
    <r>
      <rPr>
        <vertAlign val="subscript"/>
        <sz val="11"/>
        <color indexed="8"/>
        <rFont val="Arial Narrow"/>
        <family val="2"/>
        <charset val="238"/>
      </rPr>
      <t>0</t>
    </r>
    <r>
      <rPr>
        <sz val="11"/>
        <color indexed="8"/>
        <rFont val="Arial Narrow"/>
        <family val="2"/>
        <charset val="238"/>
      </rPr>
      <t xml:space="preserve"> = </t>
    </r>
    <r>
      <rPr>
        <sz val="12"/>
        <color indexed="8"/>
        <rFont val="Symbol"/>
        <family val="1"/>
        <charset val="2"/>
      </rPr>
      <t>f</t>
    </r>
    <r>
      <rPr>
        <vertAlign val="subscript"/>
        <sz val="11"/>
        <color indexed="8"/>
        <rFont val="Arial Narrow"/>
        <family val="2"/>
        <charset val="238"/>
      </rPr>
      <t>RH</t>
    </r>
    <r>
      <rPr>
        <sz val="11"/>
        <color indexed="8"/>
        <rFont val="Arial Narrow"/>
        <family val="2"/>
        <charset val="238"/>
      </rPr>
      <t xml:space="preserve"> * </t>
    </r>
    <r>
      <rPr>
        <sz val="12"/>
        <color indexed="8"/>
        <rFont val="Symbol"/>
        <family val="1"/>
        <charset val="2"/>
      </rPr>
      <t>b</t>
    </r>
    <r>
      <rPr>
        <sz val="11"/>
        <color indexed="8"/>
        <rFont val="Arial Narrow"/>
        <family val="2"/>
        <charset val="238"/>
      </rPr>
      <t>(f</t>
    </r>
    <r>
      <rPr>
        <vertAlign val="subscript"/>
        <sz val="11"/>
        <color indexed="8"/>
        <rFont val="Arial Narrow"/>
        <family val="2"/>
        <charset val="238"/>
      </rPr>
      <t>cm</t>
    </r>
    <r>
      <rPr>
        <sz val="11"/>
        <color indexed="8"/>
        <rFont val="Arial Narrow"/>
        <family val="2"/>
        <charset val="238"/>
      </rPr>
      <t xml:space="preserve">) * </t>
    </r>
    <r>
      <rPr>
        <sz val="12"/>
        <color indexed="8"/>
        <rFont val="Symbol"/>
        <family val="1"/>
        <charset val="2"/>
      </rPr>
      <t>b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0</t>
    </r>
    <r>
      <rPr>
        <sz val="11"/>
        <color indexed="8"/>
        <rFont val="Arial Narrow"/>
        <family val="2"/>
        <charset val="238"/>
      </rPr>
      <t>)</t>
    </r>
  </si>
  <si>
    <t>(B.2)</t>
  </si>
  <si>
    <t>(B.1)</t>
  </si>
  <si>
    <t>ztráta dotvarováním betonu v intervalu A</t>
  </si>
  <si>
    <r>
      <rPr>
        <b/>
        <sz val="11"/>
        <color indexed="8"/>
        <rFont val="Symbol"/>
        <family val="1"/>
        <charset val="2"/>
      </rPr>
      <t>D</t>
    </r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p,23</t>
    </r>
  </si>
  <si>
    <r>
      <rPr>
        <sz val="12"/>
        <color indexed="8"/>
        <rFont val="Symbol"/>
        <family val="1"/>
        <charset val="2"/>
      </rPr>
      <t>f</t>
    </r>
    <r>
      <rPr>
        <sz val="9"/>
        <color indexed="8"/>
        <rFont val="Arial Narrow"/>
        <family val="2"/>
        <charset val="238"/>
      </rPr>
      <t>(t,t</t>
    </r>
    <r>
      <rPr>
        <vertAlign val="subscript"/>
        <sz val="9"/>
        <color indexed="8"/>
        <rFont val="Arial Narrow"/>
        <family val="2"/>
        <charset val="238"/>
      </rPr>
      <t>0</t>
    </r>
    <r>
      <rPr>
        <sz val="9"/>
        <color indexed="8"/>
        <rFont val="Arial Narrow"/>
        <family val="2"/>
        <charset val="238"/>
      </rPr>
      <t>)</t>
    </r>
  </si>
  <si>
    <r>
      <rPr>
        <sz val="12"/>
        <color indexed="8"/>
        <rFont val="Symbol"/>
        <family val="1"/>
        <charset val="2"/>
      </rPr>
      <t>f</t>
    </r>
    <r>
      <rPr>
        <sz val="10"/>
        <color indexed="8"/>
        <rFont val="Arial Narrow"/>
        <family val="2"/>
        <charset val="238"/>
      </rPr>
      <t>(t,t</t>
    </r>
    <r>
      <rPr>
        <vertAlign val="subscript"/>
        <sz val="10"/>
        <color indexed="8"/>
        <rFont val="Arial Narrow"/>
        <family val="2"/>
        <charset val="238"/>
      </rPr>
      <t>0</t>
    </r>
    <r>
      <rPr>
        <sz val="10"/>
        <color indexed="8"/>
        <rFont val="Arial Narrow"/>
        <family val="2"/>
        <charset val="238"/>
      </rPr>
      <t>)</t>
    </r>
    <r>
      <rPr>
        <sz val="11"/>
        <color indexed="8"/>
        <rFont val="Arial Narrow"/>
        <family val="2"/>
        <charset val="238"/>
      </rPr>
      <t xml:space="preserve"> = </t>
    </r>
    <r>
      <rPr>
        <sz val="12"/>
        <color indexed="8"/>
        <rFont val="Symbol"/>
        <family val="1"/>
        <charset val="2"/>
      </rPr>
      <t>f</t>
    </r>
    <r>
      <rPr>
        <vertAlign val="subscript"/>
        <sz val="11"/>
        <color indexed="8"/>
        <rFont val="Arial Narrow"/>
        <family val="2"/>
        <charset val="238"/>
      </rPr>
      <t>0</t>
    </r>
    <r>
      <rPr>
        <sz val="11"/>
        <color indexed="8"/>
        <rFont val="Arial Narrow"/>
        <family val="2"/>
        <charset val="238"/>
      </rPr>
      <t xml:space="preserve"> * </t>
    </r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>c</t>
    </r>
    <r>
      <rPr>
        <sz val="9"/>
        <color indexed="8"/>
        <rFont val="Arial Narrow"/>
        <family val="2"/>
        <charset val="238"/>
      </rPr>
      <t>(t,t</t>
    </r>
    <r>
      <rPr>
        <vertAlign val="subscript"/>
        <sz val="9"/>
        <color indexed="8"/>
        <rFont val="Arial Narrow"/>
        <family val="2"/>
        <charset val="238"/>
      </rPr>
      <t>0</t>
    </r>
    <r>
      <rPr>
        <sz val="9"/>
        <color indexed="8"/>
        <rFont val="Arial Narrow"/>
        <family val="2"/>
        <charset val="238"/>
      </rPr>
      <t>)</t>
    </r>
  </si>
  <si>
    <r>
      <rPr>
        <sz val="11"/>
        <color indexed="8"/>
        <rFont val="Symbol"/>
        <family val="1"/>
        <charset val="2"/>
      </rPr>
      <t>D</t>
    </r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p,23</t>
    </r>
    <r>
      <rPr>
        <sz val="11"/>
        <color indexed="8"/>
        <rFont val="Arial Narrow"/>
        <family val="2"/>
        <charset val="238"/>
      </rPr>
      <t xml:space="preserve"> = 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>/E</t>
    </r>
    <r>
      <rPr>
        <vertAlign val="subscript"/>
        <sz val="11"/>
        <color indexed="8"/>
        <rFont val="Arial Narrow"/>
        <family val="2"/>
        <charset val="238"/>
      </rPr>
      <t>c</t>
    </r>
    <r>
      <rPr>
        <sz val="11"/>
        <color indexed="8"/>
        <rFont val="Arial Narrow"/>
        <family val="2"/>
        <charset val="238"/>
      </rPr>
      <t xml:space="preserve"> * </t>
    </r>
    <r>
      <rPr>
        <sz val="12"/>
        <color indexed="8"/>
        <rFont val="Symbol"/>
        <family val="1"/>
        <charset val="2"/>
      </rPr>
      <t>f</t>
    </r>
    <r>
      <rPr>
        <sz val="10"/>
        <color indexed="8"/>
        <rFont val="Arial Narrow"/>
        <family val="2"/>
        <charset val="238"/>
      </rPr>
      <t>(t,t</t>
    </r>
    <r>
      <rPr>
        <vertAlign val="subscript"/>
        <sz val="10"/>
        <color indexed="8"/>
        <rFont val="Arial Narrow"/>
        <family val="2"/>
        <charset val="238"/>
      </rPr>
      <t>0</t>
    </r>
    <r>
      <rPr>
        <sz val="10"/>
        <color indexed="8"/>
        <rFont val="Arial Narrow"/>
        <family val="2"/>
        <charset val="238"/>
      </rPr>
      <t xml:space="preserve">) * </t>
    </r>
    <r>
      <rPr>
        <sz val="12"/>
        <color indexed="8"/>
        <rFont val="Symbol"/>
        <family val="1"/>
        <charset val="2"/>
      </rPr>
      <t>s</t>
    </r>
    <r>
      <rPr>
        <vertAlign val="subscript"/>
        <sz val="10"/>
        <color indexed="8"/>
        <rFont val="Arial Narrow"/>
        <family val="2"/>
        <charset val="238"/>
      </rPr>
      <t>cp,g</t>
    </r>
  </si>
  <si>
    <t>2.4 Celková časově závislá ztráta na intervalu A (dle [1], 5.10.6)</t>
  </si>
  <si>
    <t>celková ztráta na časovém intervalu A</t>
  </si>
  <si>
    <t>celková plocha předpínacích lan</t>
  </si>
  <si>
    <t>2.5 Ztráta mnohokrát opakovaným namáháním</t>
  </si>
  <si>
    <t>ztráta mnohokrát opakovaným namáháním</t>
  </si>
  <si>
    <r>
      <rPr>
        <b/>
        <sz val="11"/>
        <color indexed="8"/>
        <rFont val="Symbol"/>
        <family val="1"/>
        <charset val="2"/>
      </rPr>
      <t>D</t>
    </r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p,25</t>
    </r>
  </si>
  <si>
    <t>Součinitel spolehlivosti materiálu</t>
  </si>
  <si>
    <r>
      <rPr>
        <sz val="12"/>
        <color indexed="8"/>
        <rFont val="Symbol"/>
        <family val="1"/>
        <charset val="2"/>
      </rPr>
      <t>g</t>
    </r>
    <r>
      <rPr>
        <vertAlign val="subscript"/>
        <sz val="11"/>
        <color indexed="8"/>
        <rFont val="Arial Narrow"/>
        <family val="2"/>
        <charset val="238"/>
      </rPr>
      <t>c</t>
    </r>
  </si>
  <si>
    <r>
      <rPr>
        <sz val="12"/>
        <color indexed="8"/>
        <rFont val="Symbol"/>
        <family val="1"/>
        <charset val="2"/>
      </rPr>
      <t>g</t>
    </r>
    <r>
      <rPr>
        <vertAlign val="subscript"/>
        <sz val="11"/>
        <color indexed="8"/>
        <rFont val="Arial Narrow"/>
        <family val="2"/>
        <charset val="238"/>
      </rPr>
      <t>p</t>
    </r>
  </si>
  <si>
    <r>
      <t>působící předpínací síla uprostřed rozpětí v čase t</t>
    </r>
    <r>
      <rPr>
        <b/>
        <vertAlign val="subscript"/>
        <sz val="11"/>
        <color indexed="8"/>
        <rFont val="Arial Narrow"/>
        <family val="2"/>
        <charset val="238"/>
      </rPr>
      <t>g</t>
    </r>
    <r>
      <rPr>
        <b/>
        <sz val="11"/>
        <color indexed="8"/>
        <rFont val="Arial Narrow"/>
        <family val="2"/>
        <charset val="238"/>
      </rPr>
      <t xml:space="preserve"> = 21 dní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</si>
  <si>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p,in</t>
    </r>
    <r>
      <rPr>
        <sz val="11"/>
        <color indexed="8"/>
        <rFont val="Arial Narrow"/>
        <family val="2"/>
        <charset val="238"/>
      </rPr>
      <t xml:space="preserve"> = A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 xml:space="preserve"> * </t>
    </r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p,tg</t>
    </r>
  </si>
  <si>
    <t>ztráta smršťování je stejná jako u výpočtu ztrát v polovině rozpětí</t>
  </si>
  <si>
    <r>
      <t>N</t>
    </r>
    <r>
      <rPr>
        <b/>
        <vertAlign val="subscript"/>
        <sz val="11"/>
        <color indexed="8"/>
        <rFont val="Arial Narrow"/>
        <family val="2"/>
        <charset val="238"/>
      </rPr>
      <t>p,tg</t>
    </r>
    <r>
      <rPr>
        <b/>
        <sz val="9"/>
        <color indexed="8"/>
        <rFont val="Arial Narrow"/>
        <family val="2"/>
        <charset val="238"/>
      </rPr>
      <t>(l</t>
    </r>
    <r>
      <rPr>
        <b/>
        <vertAlign val="subscript"/>
        <sz val="9"/>
        <color indexed="8"/>
        <rFont val="Arial Narrow"/>
        <family val="2"/>
        <charset val="238"/>
      </rPr>
      <t>pt1</t>
    </r>
    <r>
      <rPr>
        <b/>
        <sz val="9"/>
        <color indexed="8"/>
        <rFont val="Arial Narrow"/>
        <family val="2"/>
        <charset val="238"/>
      </rPr>
      <t>)</t>
    </r>
  </si>
  <si>
    <r>
      <t>působící předpínací síla u podpory v čase t</t>
    </r>
    <r>
      <rPr>
        <b/>
        <vertAlign val="subscript"/>
        <sz val="11"/>
        <color indexed="8"/>
        <rFont val="Arial Narrow"/>
        <family val="2"/>
        <charset val="238"/>
      </rPr>
      <t>g</t>
    </r>
    <r>
      <rPr>
        <b/>
        <sz val="11"/>
        <color indexed="8"/>
        <rFont val="Arial Narrow"/>
        <family val="2"/>
        <charset val="238"/>
      </rPr>
      <t xml:space="preserve"> = 21 dní</t>
    </r>
  </si>
  <si>
    <t>aplikované zatížení (kromě vlastní tíhy)</t>
  </si>
  <si>
    <t>stálé:</t>
  </si>
  <si>
    <t>nahodilé:</t>
  </si>
  <si>
    <r>
      <t>g</t>
    </r>
    <r>
      <rPr>
        <vertAlign val="subscript"/>
        <sz val="11"/>
        <color indexed="8"/>
        <rFont val="Arial Narrow"/>
        <family val="2"/>
        <charset val="238"/>
      </rPr>
      <t>k</t>
    </r>
  </si>
  <si>
    <r>
      <t>q</t>
    </r>
    <r>
      <rPr>
        <vertAlign val="subscript"/>
        <sz val="11"/>
        <color indexed="8"/>
        <rFont val="Arial Narrow"/>
        <family val="2"/>
        <charset val="238"/>
      </rPr>
      <t>k</t>
    </r>
  </si>
  <si>
    <r>
      <t>M</t>
    </r>
    <r>
      <rPr>
        <vertAlign val="subscript"/>
        <sz val="11"/>
        <color indexed="8"/>
        <rFont val="Arial Narrow"/>
        <family val="2"/>
        <charset val="238"/>
      </rPr>
      <t xml:space="preserve">e,0k 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>)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</si>
  <si>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p,tr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>)</t>
    </r>
  </si>
  <si>
    <r>
      <t>M</t>
    </r>
    <r>
      <rPr>
        <vertAlign val="subscript"/>
        <sz val="11"/>
        <color indexed="8"/>
        <rFont val="Arial Narrow"/>
        <family val="2"/>
        <charset val="238"/>
      </rPr>
      <t>p,tr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>)</t>
    </r>
  </si>
  <si>
    <t>moment od kvazistálé kombinace v L/2 (bez v.v.)</t>
  </si>
  <si>
    <t>moment od kvazistálé kombinace v L/2 (s v.v.)</t>
  </si>
  <si>
    <r>
      <t>M</t>
    </r>
    <r>
      <rPr>
        <vertAlign val="subscript"/>
        <sz val="11"/>
        <color indexed="8"/>
        <rFont val="Arial Narrow"/>
        <family val="2"/>
        <charset val="238"/>
      </rPr>
      <t>e,</t>
    </r>
    <r>
      <rPr>
        <vertAlign val="subscript"/>
        <sz val="11"/>
        <color indexed="8"/>
        <rFont val="Symbol"/>
        <family val="1"/>
        <charset val="2"/>
      </rPr>
      <t>y2</t>
    </r>
    <r>
      <rPr>
        <vertAlign val="subscript"/>
        <sz val="11"/>
        <color indexed="8"/>
        <rFont val="Arial Narrow"/>
        <family val="2"/>
        <charset val="238"/>
      </rPr>
      <t xml:space="preserve"> </t>
    </r>
    <r>
      <rPr>
        <sz val="9"/>
        <color indexed="8"/>
        <rFont val="Arial Narrow"/>
        <family val="2"/>
        <charset val="238"/>
      </rPr>
      <t>(L/2)</t>
    </r>
  </si>
  <si>
    <r>
      <t>M*</t>
    </r>
    <r>
      <rPr>
        <vertAlign val="subscript"/>
        <sz val="11"/>
        <color indexed="8"/>
        <rFont val="Arial Narrow"/>
        <family val="2"/>
        <charset val="238"/>
      </rPr>
      <t>e,</t>
    </r>
    <r>
      <rPr>
        <vertAlign val="subscript"/>
        <sz val="11"/>
        <color indexed="8"/>
        <rFont val="Symbol"/>
        <family val="1"/>
        <charset val="2"/>
      </rPr>
      <t>y2</t>
    </r>
    <r>
      <rPr>
        <vertAlign val="subscript"/>
        <sz val="11"/>
        <color indexed="8"/>
        <rFont val="Arial Narrow"/>
        <family val="2"/>
        <charset val="238"/>
      </rPr>
      <t xml:space="preserve"> </t>
    </r>
    <r>
      <rPr>
        <sz val="9"/>
        <color indexed="8"/>
        <rFont val="Arial Narrow"/>
        <family val="2"/>
        <charset val="238"/>
      </rPr>
      <t>(L/2)</t>
    </r>
  </si>
  <si>
    <r>
      <t>M</t>
    </r>
    <r>
      <rPr>
        <vertAlign val="subscript"/>
        <sz val="11"/>
        <color indexed="8"/>
        <rFont val="Arial Narrow"/>
        <family val="2"/>
        <charset val="238"/>
      </rPr>
      <t>e,</t>
    </r>
    <r>
      <rPr>
        <vertAlign val="subscript"/>
        <sz val="11"/>
        <color indexed="8"/>
        <rFont val="Symbol"/>
        <family val="1"/>
        <charset val="2"/>
      </rPr>
      <t>y2</t>
    </r>
    <r>
      <rPr>
        <vertAlign val="subscript"/>
        <sz val="11"/>
        <color indexed="8"/>
        <rFont val="Arial Narrow"/>
        <family val="2"/>
        <charset val="238"/>
      </rPr>
      <t xml:space="preserve"> </t>
    </r>
    <r>
      <rPr>
        <sz val="9"/>
        <color indexed="8"/>
        <rFont val="Arial Narrow"/>
        <family val="2"/>
        <charset val="238"/>
      </rPr>
      <t>(L/2)</t>
    </r>
    <r>
      <rPr>
        <sz val="11"/>
        <color indexed="8"/>
        <rFont val="Arial Narrow"/>
        <family val="2"/>
        <charset val="238"/>
      </rPr>
      <t xml:space="preserve"> = M</t>
    </r>
    <r>
      <rPr>
        <vertAlign val="subscript"/>
        <sz val="11"/>
        <color indexed="8"/>
        <rFont val="Arial Narrow"/>
        <family val="2"/>
        <charset val="238"/>
      </rPr>
      <t>E,0k</t>
    </r>
    <r>
      <rPr>
        <sz val="11"/>
        <color indexed="8"/>
        <rFont val="Arial Narrow"/>
        <family val="2"/>
        <charset val="238"/>
      </rPr>
      <t xml:space="preserve"> + M</t>
    </r>
    <r>
      <rPr>
        <vertAlign val="subscript"/>
        <sz val="11"/>
        <color indexed="8"/>
        <rFont val="Arial Narrow"/>
        <family val="2"/>
        <charset val="238"/>
      </rPr>
      <t>E,gk</t>
    </r>
    <r>
      <rPr>
        <sz val="11"/>
        <color indexed="8"/>
        <rFont val="Arial Narrow"/>
        <family val="2"/>
        <charset val="238"/>
      </rPr>
      <t xml:space="preserve"> + </t>
    </r>
    <r>
      <rPr>
        <sz val="12"/>
        <color indexed="8"/>
        <rFont val="Symbol"/>
        <family val="1"/>
        <charset val="2"/>
      </rPr>
      <t>y</t>
    </r>
    <r>
      <rPr>
        <vertAlign val="subscript"/>
        <sz val="11"/>
        <color indexed="8"/>
        <rFont val="Arial Narrow"/>
        <family val="2"/>
        <charset val="238"/>
      </rPr>
      <t>2</t>
    </r>
    <r>
      <rPr>
        <sz val="11"/>
        <color indexed="8"/>
        <rFont val="Arial Narrow"/>
        <family val="2"/>
        <charset val="238"/>
      </rPr>
      <t>M</t>
    </r>
    <r>
      <rPr>
        <vertAlign val="subscript"/>
        <sz val="11"/>
        <color indexed="8"/>
        <rFont val="Arial Narrow"/>
        <family val="2"/>
        <charset val="238"/>
      </rPr>
      <t>E,qk</t>
    </r>
  </si>
  <si>
    <t>kombinační součinitel</t>
  </si>
  <si>
    <r>
      <rPr>
        <sz val="12"/>
        <color indexed="8"/>
        <rFont val="Symbol"/>
        <family val="1"/>
        <charset val="2"/>
      </rPr>
      <t>y</t>
    </r>
    <r>
      <rPr>
        <vertAlign val="subscript"/>
        <sz val="11"/>
        <color indexed="8"/>
        <rFont val="Arial Narrow"/>
        <family val="2"/>
        <charset val="238"/>
      </rPr>
      <t>2</t>
    </r>
    <r>
      <rPr>
        <sz val="11"/>
        <color indexed="8"/>
        <rFont val="Arial Narrow"/>
        <family val="2"/>
        <charset val="238"/>
      </rPr>
      <t/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</si>
  <si>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p,tg</t>
    </r>
  </si>
  <si>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>cc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g+q</t>
    </r>
    <r>
      <rPr>
        <sz val="11"/>
        <color indexed="8"/>
        <rFont val="Arial Narrow"/>
        <family val="2"/>
        <charset val="238"/>
      </rPr>
      <t>)</t>
    </r>
  </si>
  <si>
    <r>
      <t>E</t>
    </r>
    <r>
      <rPr>
        <vertAlign val="subscript"/>
        <sz val="11"/>
        <color indexed="8"/>
        <rFont val="Arial Narrow"/>
        <family val="2"/>
        <charset val="238"/>
      </rPr>
      <t>cm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g+q</t>
    </r>
    <r>
      <rPr>
        <sz val="11"/>
        <color indexed="8"/>
        <rFont val="Arial Narrow"/>
        <family val="2"/>
        <charset val="238"/>
      </rPr>
      <t>)</t>
    </r>
  </si>
  <si>
    <r>
      <t>f</t>
    </r>
    <r>
      <rPr>
        <vertAlign val="subscript"/>
        <sz val="11"/>
        <color indexed="8"/>
        <rFont val="Arial Narrow"/>
        <family val="2"/>
        <charset val="238"/>
      </rPr>
      <t>ctm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g+q</t>
    </r>
    <r>
      <rPr>
        <sz val="11"/>
        <color indexed="8"/>
        <rFont val="Arial Narrow"/>
        <family val="2"/>
        <charset val="238"/>
      </rPr>
      <t>)</t>
    </r>
  </si>
  <si>
    <r>
      <t>f</t>
    </r>
    <r>
      <rPr>
        <vertAlign val="subscript"/>
        <sz val="11"/>
        <color indexed="8"/>
        <rFont val="Arial Narrow"/>
        <family val="2"/>
        <charset val="238"/>
      </rPr>
      <t>ck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g+q</t>
    </r>
    <r>
      <rPr>
        <sz val="11"/>
        <color indexed="8"/>
        <rFont val="Arial Narrow"/>
        <family val="2"/>
        <charset val="238"/>
      </rPr>
      <t>)</t>
    </r>
  </si>
  <si>
    <r>
      <t>f</t>
    </r>
    <r>
      <rPr>
        <vertAlign val="subscript"/>
        <sz val="11"/>
        <color indexed="8"/>
        <rFont val="Arial Narrow"/>
        <family val="2"/>
        <charset val="238"/>
      </rPr>
      <t>cm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g+q</t>
    </r>
    <r>
      <rPr>
        <sz val="11"/>
        <color indexed="8"/>
        <rFont val="Arial Narrow"/>
        <family val="2"/>
        <charset val="238"/>
      </rPr>
      <t>)</t>
    </r>
  </si>
  <si>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>cc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g+q</t>
    </r>
    <r>
      <rPr>
        <sz val="11"/>
        <color indexed="8"/>
        <rFont val="Arial Narrow"/>
        <family val="2"/>
        <charset val="238"/>
      </rPr>
      <t>) = exp (S (1 - (28 / t)</t>
    </r>
    <r>
      <rPr>
        <vertAlign val="superscript"/>
        <sz val="11"/>
        <color indexed="8"/>
        <rFont val="Arial Narrow"/>
        <family val="2"/>
        <charset val="238"/>
      </rPr>
      <t>0,5</t>
    </r>
    <r>
      <rPr>
        <sz val="11"/>
        <color indexed="8"/>
        <rFont val="Arial Narrow"/>
        <family val="2"/>
        <charset val="238"/>
      </rPr>
      <t>))</t>
    </r>
  </si>
  <si>
    <r>
      <t>E</t>
    </r>
    <r>
      <rPr>
        <vertAlign val="subscript"/>
        <sz val="11"/>
        <color indexed="8"/>
        <rFont val="Arial Narrow"/>
        <family val="2"/>
        <charset val="238"/>
      </rPr>
      <t>cm</t>
    </r>
    <r>
      <rPr>
        <sz val="11"/>
        <color indexed="8"/>
        <rFont val="Arial Narrow"/>
        <family val="2"/>
        <charset val="238"/>
      </rPr>
      <t>(t) = ((</t>
    </r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>cc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g+q</t>
    </r>
    <r>
      <rPr>
        <sz val="11"/>
        <color indexed="8"/>
        <rFont val="Arial Narrow"/>
        <family val="2"/>
        <charset val="238"/>
      </rPr>
      <t>) * f</t>
    </r>
    <r>
      <rPr>
        <vertAlign val="subscript"/>
        <sz val="11"/>
        <color indexed="8"/>
        <rFont val="Arial Narrow"/>
        <family val="2"/>
        <charset val="238"/>
      </rPr>
      <t>cm</t>
    </r>
    <r>
      <rPr>
        <sz val="11"/>
        <color indexed="8"/>
        <rFont val="Arial Narrow"/>
        <family val="2"/>
        <charset val="238"/>
      </rPr>
      <t>) / f</t>
    </r>
    <r>
      <rPr>
        <vertAlign val="subscript"/>
        <sz val="11"/>
        <color indexed="8"/>
        <rFont val="Arial Narrow"/>
        <family val="2"/>
        <charset val="238"/>
      </rPr>
      <t>cm</t>
    </r>
    <r>
      <rPr>
        <sz val="11"/>
        <color indexed="8"/>
        <rFont val="Arial Narrow"/>
        <family val="2"/>
        <charset val="238"/>
      </rPr>
      <t>)</t>
    </r>
    <r>
      <rPr>
        <vertAlign val="superscript"/>
        <sz val="11"/>
        <color indexed="8"/>
        <rFont val="Arial Narrow"/>
        <family val="2"/>
        <charset val="238"/>
      </rPr>
      <t>0,3</t>
    </r>
    <r>
      <rPr>
        <sz val="11"/>
        <color indexed="8"/>
        <rFont val="Arial Narrow"/>
        <family val="2"/>
        <charset val="238"/>
      </rPr>
      <t xml:space="preserve"> * E</t>
    </r>
    <r>
      <rPr>
        <vertAlign val="subscript"/>
        <sz val="11"/>
        <color indexed="8"/>
        <rFont val="Arial Narrow"/>
        <family val="2"/>
        <charset val="238"/>
      </rPr>
      <t>cm</t>
    </r>
  </si>
  <si>
    <r>
      <t>f</t>
    </r>
    <r>
      <rPr>
        <vertAlign val="subscript"/>
        <sz val="11"/>
        <color indexed="8"/>
        <rFont val="Arial Narrow"/>
        <family val="2"/>
        <charset val="238"/>
      </rPr>
      <t>ctm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g+q</t>
    </r>
    <r>
      <rPr>
        <sz val="11"/>
        <color indexed="8"/>
        <rFont val="Arial Narrow"/>
        <family val="2"/>
        <charset val="238"/>
      </rPr>
      <t>) = (</t>
    </r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>cc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g+q</t>
    </r>
    <r>
      <rPr>
        <sz val="11"/>
        <color indexed="8"/>
        <rFont val="Arial Narrow"/>
        <family val="2"/>
        <charset val="238"/>
      </rPr>
      <t>))</t>
    </r>
    <r>
      <rPr>
        <vertAlign val="superscript"/>
        <sz val="11"/>
        <color indexed="8"/>
        <rFont val="Symbol"/>
        <family val="1"/>
        <charset val="2"/>
      </rPr>
      <t>a</t>
    </r>
    <r>
      <rPr>
        <sz val="11"/>
        <color indexed="8"/>
        <rFont val="Arial Narrow"/>
        <family val="2"/>
        <charset val="238"/>
      </rPr>
      <t xml:space="preserve"> * f</t>
    </r>
    <r>
      <rPr>
        <vertAlign val="subscript"/>
        <sz val="11"/>
        <color indexed="8"/>
        <rFont val="Arial Narrow"/>
        <family val="2"/>
        <charset val="238"/>
      </rPr>
      <t>ctm</t>
    </r>
  </si>
  <si>
    <r>
      <t>f</t>
    </r>
    <r>
      <rPr>
        <vertAlign val="subscript"/>
        <sz val="11"/>
        <color indexed="8"/>
        <rFont val="Arial Narrow"/>
        <family val="2"/>
        <charset val="238"/>
      </rPr>
      <t>ck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g+q</t>
    </r>
    <r>
      <rPr>
        <sz val="11"/>
        <color indexed="8"/>
        <rFont val="Arial Narrow"/>
        <family val="2"/>
        <charset val="238"/>
      </rPr>
      <t xml:space="preserve">) = </t>
    </r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>cc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g+q</t>
    </r>
    <r>
      <rPr>
        <sz val="11"/>
        <color indexed="8"/>
        <rFont val="Arial Narrow"/>
        <family val="2"/>
        <charset val="238"/>
      </rPr>
      <t>)* f</t>
    </r>
    <r>
      <rPr>
        <vertAlign val="subscript"/>
        <sz val="11"/>
        <color indexed="8"/>
        <rFont val="Arial Narrow"/>
        <family val="2"/>
        <charset val="238"/>
      </rPr>
      <t xml:space="preserve">cm </t>
    </r>
    <r>
      <rPr>
        <sz val="11"/>
        <color indexed="8"/>
        <rFont val="Arial Narrow"/>
        <family val="2"/>
        <charset val="238"/>
      </rPr>
      <t>- 8[Mpa]</t>
    </r>
  </si>
  <si>
    <r>
      <t>f</t>
    </r>
    <r>
      <rPr>
        <vertAlign val="subscript"/>
        <sz val="11"/>
        <color indexed="8"/>
        <rFont val="Arial Narrow"/>
        <family val="2"/>
        <charset val="238"/>
      </rPr>
      <t>cm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g+q</t>
    </r>
    <r>
      <rPr>
        <sz val="11"/>
        <color indexed="8"/>
        <rFont val="Arial Narrow"/>
        <family val="2"/>
        <charset val="238"/>
      </rPr>
      <t xml:space="preserve">) = </t>
    </r>
    <r>
      <rPr>
        <sz val="12"/>
        <color indexed="8"/>
        <rFont val="Symbol"/>
        <family val="1"/>
        <charset val="2"/>
      </rPr>
      <t>b</t>
    </r>
    <r>
      <rPr>
        <vertAlign val="subscript"/>
        <sz val="11"/>
        <color indexed="8"/>
        <rFont val="Arial Narrow"/>
        <family val="2"/>
        <charset val="238"/>
      </rPr>
      <t>cc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g+q</t>
    </r>
    <r>
      <rPr>
        <sz val="11"/>
        <color indexed="8"/>
        <rFont val="Arial Narrow"/>
        <family val="2"/>
        <charset val="238"/>
      </rPr>
      <t>)* f</t>
    </r>
    <r>
      <rPr>
        <vertAlign val="subscript"/>
        <sz val="11"/>
        <color indexed="8"/>
        <rFont val="Arial Narrow"/>
        <family val="2"/>
        <charset val="238"/>
      </rPr>
      <t>cm</t>
    </r>
  </si>
  <si>
    <r>
      <rPr>
        <b/>
        <sz val="11"/>
        <color indexed="8"/>
        <rFont val="Symbol"/>
        <family val="1"/>
        <charset val="2"/>
      </rPr>
      <t>D</t>
    </r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p,31</t>
    </r>
  </si>
  <si>
    <r>
      <t>t</t>
    </r>
    <r>
      <rPr>
        <vertAlign val="subscript"/>
        <sz val="11"/>
        <color indexed="8"/>
        <rFont val="Arial Narrow"/>
        <family val="2"/>
        <charset val="238"/>
      </rPr>
      <t>B</t>
    </r>
  </si>
  <si>
    <r>
      <t>t</t>
    </r>
    <r>
      <rPr>
        <vertAlign val="subscript"/>
        <sz val="11"/>
        <color indexed="8"/>
        <rFont val="Arial Narrow"/>
        <family val="2"/>
        <charset val="238"/>
      </rPr>
      <t>B</t>
    </r>
    <r>
      <rPr>
        <sz val="11"/>
        <color indexed="8"/>
        <rFont val="Arial Narrow"/>
        <family val="2"/>
        <charset val="238"/>
      </rPr>
      <t xml:space="preserve"> = t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11"/>
        <color indexed="8"/>
        <rFont val="Arial Narrow"/>
        <family val="2"/>
        <charset val="238"/>
      </rPr>
      <t xml:space="preserve"> - t</t>
    </r>
    <r>
      <rPr>
        <vertAlign val="subscript"/>
        <sz val="11"/>
        <color indexed="8"/>
        <rFont val="Arial Narrow"/>
        <family val="2"/>
        <charset val="238"/>
      </rPr>
      <t>g+q</t>
    </r>
  </si>
  <si>
    <t>pozn: uvažováno vysychání pouze ze spodního líce</t>
  </si>
  <si>
    <r>
      <t>f</t>
    </r>
    <r>
      <rPr>
        <vertAlign val="subscript"/>
        <sz val="11"/>
        <color indexed="8"/>
        <rFont val="Arial Narrow"/>
        <family val="2"/>
        <charset val="238"/>
      </rPr>
      <t>cm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g1q</t>
    </r>
    <r>
      <rPr>
        <sz val="11"/>
        <color indexed="8"/>
        <rFont val="Arial Narrow"/>
        <family val="2"/>
        <charset val="238"/>
      </rPr>
      <t>)</t>
    </r>
  </si>
  <si>
    <r>
      <t>t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11"/>
        <color indexed="8"/>
        <rFont val="Arial Narrow"/>
        <family val="2"/>
        <charset val="238"/>
      </rPr>
      <t xml:space="preserve"> = t</t>
    </r>
  </si>
  <si>
    <t>3.2 Ztráta smršťováním betonu (dle [1] 3.1.4)</t>
  </si>
  <si>
    <r>
      <rPr>
        <b/>
        <sz val="11"/>
        <color indexed="8"/>
        <rFont val="Symbol"/>
        <family val="1"/>
        <charset val="2"/>
      </rPr>
      <t>D</t>
    </r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p,32</t>
    </r>
  </si>
  <si>
    <r>
      <t>t</t>
    </r>
    <r>
      <rPr>
        <vertAlign val="subscript"/>
        <sz val="11"/>
        <color indexed="8"/>
        <rFont val="Arial Narrow"/>
        <family val="2"/>
        <charset val="238"/>
      </rPr>
      <t>g+q</t>
    </r>
    <r>
      <rPr>
        <sz val="11"/>
        <color indexed="8"/>
        <rFont val="Arial Narrow"/>
        <family val="2"/>
        <charset val="238"/>
      </rPr>
      <t xml:space="preserve"> = t</t>
    </r>
    <r>
      <rPr>
        <vertAlign val="subscript"/>
        <sz val="11"/>
        <color indexed="8"/>
        <rFont val="Arial Narrow"/>
        <family val="2"/>
        <charset val="238"/>
      </rPr>
      <t>0</t>
    </r>
  </si>
  <si>
    <t>působící zatížení v časovém intervalu B</t>
  </si>
  <si>
    <t>změna předpětí na intervalu B</t>
  </si>
  <si>
    <t>změna předpínací síly na intervalu B</t>
  </si>
  <si>
    <r>
      <rPr>
        <sz val="12"/>
        <color indexed="8"/>
        <rFont val="Symbol"/>
        <family val="1"/>
        <charset val="2"/>
      </rPr>
      <t>Ds</t>
    </r>
    <r>
      <rPr>
        <vertAlign val="subscript"/>
        <sz val="11"/>
        <color indexed="8"/>
        <rFont val="Arial Narrow"/>
        <family val="2"/>
        <charset val="238"/>
      </rPr>
      <t>pegA</t>
    </r>
  </si>
  <si>
    <r>
      <rPr>
        <sz val="12"/>
        <color indexed="8"/>
        <rFont val="Symbol"/>
        <family val="1"/>
        <charset val="2"/>
      </rPr>
      <t>D</t>
    </r>
    <r>
      <rPr>
        <sz val="11"/>
        <color indexed="8"/>
        <rFont val="Arial Narrow"/>
        <family val="2"/>
        <charset val="238"/>
      </rPr>
      <t>N</t>
    </r>
    <r>
      <rPr>
        <vertAlign val="subscript"/>
        <sz val="11"/>
        <color indexed="8"/>
        <rFont val="Arial Narrow"/>
        <family val="2"/>
        <charset val="238"/>
      </rPr>
      <t>pegA</t>
    </r>
  </si>
  <si>
    <r>
      <rPr>
        <sz val="12"/>
        <color indexed="8"/>
        <rFont val="Symbol"/>
        <family val="1"/>
        <charset val="2"/>
      </rPr>
      <t>SDs</t>
    </r>
    <r>
      <rPr>
        <vertAlign val="subscript"/>
        <sz val="11"/>
        <color indexed="8"/>
        <rFont val="Arial Narrow"/>
        <family val="2"/>
        <charset val="238"/>
      </rPr>
      <t>pr</t>
    </r>
    <r>
      <rPr>
        <sz val="11"/>
        <color indexed="8"/>
        <rFont val="Arial Narrow"/>
        <family val="2"/>
        <charset val="238"/>
      </rPr>
      <t>+</t>
    </r>
    <r>
      <rPr>
        <sz val="12"/>
        <color indexed="8"/>
        <rFont val="Symbol"/>
        <family val="1"/>
        <charset val="2"/>
      </rPr>
      <t>Ds</t>
    </r>
    <r>
      <rPr>
        <vertAlign val="subscript"/>
        <sz val="11"/>
        <color indexed="8"/>
        <rFont val="Arial Narrow"/>
        <family val="2"/>
        <charset val="238"/>
      </rPr>
      <t>pegA</t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</si>
  <si>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p,tg</t>
    </r>
    <r>
      <rPr>
        <sz val="11"/>
        <color indexed="8"/>
        <rFont val="Arial Narrow"/>
        <family val="2"/>
        <charset val="238"/>
      </rPr>
      <t xml:space="preserve"> + </t>
    </r>
    <r>
      <rPr>
        <sz val="12"/>
        <color indexed="8"/>
        <rFont val="Symbol"/>
        <family val="1"/>
        <charset val="2"/>
      </rPr>
      <t>SDs</t>
    </r>
    <r>
      <rPr>
        <vertAlign val="subscript"/>
        <sz val="11"/>
        <color indexed="8"/>
        <rFont val="Arial Narrow"/>
        <family val="2"/>
        <charset val="238"/>
      </rPr>
      <t>pr</t>
    </r>
    <r>
      <rPr>
        <sz val="11"/>
        <color indexed="8"/>
        <rFont val="Arial Narrow"/>
        <family val="2"/>
        <charset val="238"/>
      </rPr>
      <t xml:space="preserve"> + </t>
    </r>
    <r>
      <rPr>
        <sz val="12"/>
        <color indexed="8"/>
        <rFont val="Symbol"/>
        <family val="1"/>
        <charset val="2"/>
      </rPr>
      <t>Ds</t>
    </r>
    <r>
      <rPr>
        <vertAlign val="subscript"/>
        <sz val="11"/>
        <color indexed="8"/>
        <rFont val="Arial Narrow"/>
        <family val="2"/>
        <charset val="238"/>
      </rPr>
      <t>pegA</t>
    </r>
  </si>
  <si>
    <r>
      <t>celkový moment od kvazi kombinace v t</t>
    </r>
    <r>
      <rPr>
        <vertAlign val="subscript"/>
        <sz val="11"/>
        <color indexed="8"/>
        <rFont val="Arial"/>
        <family val="2"/>
        <charset val="238"/>
      </rPr>
      <t>∞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</si>
  <si>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p,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9"/>
        <color indexed="8"/>
        <rFont val="Arial Narrow"/>
        <family val="2"/>
        <charset val="238"/>
      </rPr>
      <t>(L/2)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</si>
  <si>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p,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11"/>
        <color indexed="8"/>
        <rFont val="Arial Narrow"/>
        <family val="2"/>
        <charset val="238"/>
      </rPr>
      <t xml:space="preserve"> = N</t>
    </r>
    <r>
      <rPr>
        <vertAlign val="subscript"/>
        <sz val="11"/>
        <color indexed="8"/>
        <rFont val="Arial Narrow"/>
        <family val="2"/>
        <charset val="238"/>
      </rPr>
      <t>p,tg</t>
    </r>
    <r>
      <rPr>
        <sz val="11"/>
        <color indexed="8"/>
        <rFont val="Arial Narrow"/>
        <family val="2"/>
        <charset val="238"/>
      </rPr>
      <t xml:space="preserve"> + </t>
    </r>
    <r>
      <rPr>
        <sz val="12"/>
        <color indexed="8"/>
        <rFont val="Symbol"/>
        <family val="1"/>
        <charset val="2"/>
      </rPr>
      <t>D</t>
    </r>
    <r>
      <rPr>
        <sz val="11"/>
        <color indexed="8"/>
        <rFont val="Arial Narrow"/>
        <family val="2"/>
        <charset val="238"/>
      </rPr>
      <t>N</t>
    </r>
    <r>
      <rPr>
        <vertAlign val="subscript"/>
        <sz val="11"/>
        <color indexed="8"/>
        <rFont val="Arial Narrow"/>
        <family val="2"/>
        <charset val="238"/>
      </rPr>
      <t>pegA</t>
    </r>
  </si>
  <si>
    <r>
      <t>M</t>
    </r>
    <r>
      <rPr>
        <vertAlign val="subscript"/>
        <sz val="11"/>
        <color indexed="8"/>
        <rFont val="Arial Narrow"/>
        <family val="2"/>
        <charset val="238"/>
      </rPr>
      <t>p,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9"/>
        <color indexed="8"/>
        <rFont val="Arial Narrow"/>
        <family val="2"/>
        <charset val="238"/>
      </rPr>
      <t>(L/2)</t>
    </r>
  </si>
  <si>
    <t>3.3 Ztráta dotvarováním betonu (dle [1], příloha B)</t>
  </si>
  <si>
    <r>
      <rPr>
        <b/>
        <sz val="11"/>
        <color indexed="8"/>
        <rFont val="Symbol"/>
        <family val="1"/>
        <charset val="2"/>
      </rPr>
      <t>D</t>
    </r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p,33</t>
    </r>
  </si>
  <si>
    <r>
      <rPr>
        <sz val="11"/>
        <color indexed="8"/>
        <rFont val="Symbol"/>
        <family val="1"/>
        <charset val="2"/>
      </rPr>
      <t>D</t>
    </r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p,33</t>
    </r>
    <r>
      <rPr>
        <sz val="11"/>
        <color indexed="8"/>
        <rFont val="Arial Narrow"/>
        <family val="2"/>
        <charset val="238"/>
      </rPr>
      <t xml:space="preserve"> = 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>/E</t>
    </r>
    <r>
      <rPr>
        <vertAlign val="subscript"/>
        <sz val="11"/>
        <color indexed="8"/>
        <rFont val="Arial Narrow"/>
        <family val="2"/>
        <charset val="238"/>
      </rPr>
      <t>c</t>
    </r>
    <r>
      <rPr>
        <sz val="11"/>
        <color indexed="8"/>
        <rFont val="Arial Narrow"/>
        <family val="2"/>
        <charset val="238"/>
      </rPr>
      <t xml:space="preserve"> * </t>
    </r>
    <r>
      <rPr>
        <sz val="12"/>
        <color indexed="8"/>
        <rFont val="Symbol"/>
        <family val="1"/>
        <charset val="2"/>
      </rPr>
      <t>f</t>
    </r>
    <r>
      <rPr>
        <sz val="10"/>
        <color indexed="8"/>
        <rFont val="Arial Narrow"/>
        <family val="2"/>
        <charset val="238"/>
      </rPr>
      <t>(t,t</t>
    </r>
    <r>
      <rPr>
        <vertAlign val="subscript"/>
        <sz val="10"/>
        <color indexed="8"/>
        <rFont val="Arial Narrow"/>
        <family val="2"/>
        <charset val="238"/>
      </rPr>
      <t>0</t>
    </r>
    <r>
      <rPr>
        <sz val="10"/>
        <color indexed="8"/>
        <rFont val="Arial Narrow"/>
        <family val="2"/>
        <charset val="238"/>
      </rPr>
      <t xml:space="preserve">) * </t>
    </r>
    <r>
      <rPr>
        <sz val="12"/>
        <color indexed="8"/>
        <rFont val="Symbol"/>
        <family val="1"/>
        <charset val="2"/>
      </rPr>
      <t>s</t>
    </r>
    <r>
      <rPr>
        <vertAlign val="subscript"/>
        <sz val="10"/>
        <color indexed="8"/>
        <rFont val="Arial Narrow"/>
        <family val="2"/>
        <charset val="238"/>
      </rPr>
      <t>cp,g</t>
    </r>
  </si>
  <si>
    <t>3.4 Celková časově závislá ztráta na intervalu B (dle [1], 5.10.6)</t>
  </si>
  <si>
    <t>celková ztráta na časovém intervalu B</t>
  </si>
  <si>
    <t>ztráta dotvarováním betonu v intervalu B</t>
  </si>
  <si>
    <t>ztráta smršťováním betonu v intervalu B</t>
  </si>
  <si>
    <r>
      <rPr>
        <b/>
        <sz val="11"/>
        <color indexed="8"/>
        <rFont val="Symbol"/>
        <family val="1"/>
        <charset val="2"/>
      </rPr>
      <t>D</t>
    </r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p,35</t>
    </r>
  </si>
  <si>
    <t>3.5 Ztráta mnohokrát opakovaným namáháním</t>
  </si>
  <si>
    <r>
      <rPr>
        <b/>
        <sz val="11"/>
        <color indexed="8"/>
        <rFont val="Symbol"/>
        <family val="1"/>
        <charset val="2"/>
      </rPr>
      <t>D</t>
    </r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pB,c+s+r</t>
    </r>
  </si>
  <si>
    <r>
      <rPr>
        <b/>
        <sz val="11"/>
        <color indexed="8"/>
        <rFont val="Symbol"/>
        <family val="1"/>
        <charset val="2"/>
      </rPr>
      <t>D</t>
    </r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pA,c+s+r</t>
    </r>
  </si>
  <si>
    <r>
      <t>moment od kvazistálé kombinace v l</t>
    </r>
    <r>
      <rPr>
        <vertAlign val="subscript"/>
        <sz val="11"/>
        <color indexed="8"/>
        <rFont val="Arial Narrow"/>
        <family val="2"/>
        <charset val="238"/>
      </rPr>
      <t>pt1</t>
    </r>
    <r>
      <rPr>
        <sz val="11"/>
        <color indexed="8"/>
        <rFont val="Arial Narrow"/>
        <family val="2"/>
        <charset val="238"/>
      </rPr>
      <t xml:space="preserve"> (bez v.v.)</t>
    </r>
  </si>
  <si>
    <r>
      <t>moment od kvazistálé kombinace v l</t>
    </r>
    <r>
      <rPr>
        <vertAlign val="subscript"/>
        <sz val="11"/>
        <color indexed="8"/>
        <rFont val="Arial Narrow"/>
        <family val="2"/>
        <charset val="238"/>
      </rPr>
      <t>pt1</t>
    </r>
    <r>
      <rPr>
        <sz val="11"/>
        <color indexed="8"/>
        <rFont val="Arial Narrow"/>
        <family val="2"/>
        <charset val="238"/>
      </rPr>
      <t xml:space="preserve"> (s v.v.)</t>
    </r>
  </si>
  <si>
    <r>
      <t>M*</t>
    </r>
    <r>
      <rPr>
        <vertAlign val="subscript"/>
        <sz val="11"/>
        <color indexed="8"/>
        <rFont val="Arial Narrow"/>
        <family val="2"/>
        <charset val="238"/>
      </rPr>
      <t>e,</t>
    </r>
    <r>
      <rPr>
        <vertAlign val="subscript"/>
        <sz val="11"/>
        <color indexed="8"/>
        <rFont val="Symbol"/>
        <family val="1"/>
        <charset val="2"/>
      </rPr>
      <t>y2</t>
    </r>
    <r>
      <rPr>
        <vertAlign val="subscript"/>
        <sz val="11"/>
        <color indexed="8"/>
        <rFont val="Arial Narrow"/>
        <family val="2"/>
        <charset val="238"/>
      </rPr>
      <t xml:space="preserve"> 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>)</t>
    </r>
  </si>
  <si>
    <r>
      <t>M</t>
    </r>
    <r>
      <rPr>
        <vertAlign val="subscript"/>
        <sz val="11"/>
        <color indexed="8"/>
        <rFont val="Arial Narrow"/>
        <family val="2"/>
        <charset val="238"/>
      </rPr>
      <t>e,</t>
    </r>
    <r>
      <rPr>
        <vertAlign val="subscript"/>
        <sz val="11"/>
        <color indexed="8"/>
        <rFont val="Symbol"/>
        <family val="1"/>
        <charset val="2"/>
      </rPr>
      <t>y2</t>
    </r>
    <r>
      <rPr>
        <vertAlign val="subscript"/>
        <sz val="11"/>
        <color indexed="8"/>
        <rFont val="Arial Narrow"/>
        <family val="2"/>
        <charset val="238"/>
      </rPr>
      <t xml:space="preserve"> 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>)</t>
    </r>
  </si>
  <si>
    <t>ztráta relaxací výztuže v intervalu B</t>
  </si>
  <si>
    <t>čas relaxace (do konce časového úseku B)</t>
  </si>
  <si>
    <t>pozn.: působí veškeré zatížení</t>
  </si>
  <si>
    <t>ZÁVĚREČNÝ PŘEHLED VÝPOČTU ZTRÁT</t>
  </si>
  <si>
    <t>časový průběh výroby:</t>
  </si>
  <si>
    <t>čas předpínání výztuže</t>
  </si>
  <si>
    <t>čas vnesení napětí do prvku</t>
  </si>
  <si>
    <t>osazení do konstrukce</t>
  </si>
  <si>
    <t>životnost prvku</t>
  </si>
  <si>
    <r>
      <t>t</t>
    </r>
    <r>
      <rPr>
        <vertAlign val="subscript"/>
        <sz val="11"/>
        <color indexed="8"/>
        <rFont val="Arial Narrow"/>
        <family val="2"/>
        <charset val="238"/>
      </rPr>
      <t>in</t>
    </r>
  </si>
  <si>
    <t>inicializační napětí</t>
  </si>
  <si>
    <t>napětí ve výztuži těsně před transferem (bez el. ztrát)</t>
  </si>
  <si>
    <t>napětí ve výztuži těsně po transferu (vč el. ztrát)</t>
  </si>
  <si>
    <t>napětí v okamžiku osazení do konstrukce</t>
  </si>
  <si>
    <t>napětí na konci životnosti konstrukce</t>
  </si>
  <si>
    <r>
      <t>N</t>
    </r>
    <r>
      <rPr>
        <b/>
        <vertAlign val="subscript"/>
        <sz val="11"/>
        <color indexed="8"/>
        <rFont val="Arial Narrow"/>
        <family val="2"/>
        <charset val="238"/>
      </rPr>
      <t>p,t</t>
    </r>
    <r>
      <rPr>
        <b/>
        <vertAlign val="subscript"/>
        <sz val="11"/>
        <color indexed="8"/>
        <rFont val="Arial"/>
        <family val="2"/>
        <charset val="238"/>
      </rPr>
      <t>∞</t>
    </r>
    <r>
      <rPr>
        <b/>
        <sz val="9"/>
        <color indexed="8"/>
        <rFont val="Arial Narrow"/>
        <family val="2"/>
        <charset val="238"/>
      </rPr>
      <t>(L/2)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</si>
  <si>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p,in</t>
    </r>
    <r>
      <rPr>
        <sz val="11"/>
        <color indexed="8"/>
        <rFont val="Arial Narrow"/>
        <family val="2"/>
        <charset val="238"/>
      </rPr>
      <t xml:space="preserve"> =</t>
    </r>
  </si>
  <si>
    <r>
      <t>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 xml:space="preserve"> =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</si>
  <si>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 xml:space="preserve"> =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</si>
  <si>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p,tr</t>
    </r>
    <r>
      <rPr>
        <sz val="11"/>
        <color indexed="8"/>
        <rFont val="Arial Narrow"/>
        <family val="2"/>
        <charset val="238"/>
      </rPr>
      <t xml:space="preserve"> =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</si>
  <si>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p,tg+q</t>
    </r>
    <r>
      <rPr>
        <sz val="11"/>
        <color indexed="8"/>
        <rFont val="Arial Narrow"/>
        <family val="2"/>
        <charset val="238"/>
      </rPr>
      <t xml:space="preserve"> =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</si>
  <si>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p,t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11"/>
        <color indexed="8"/>
        <rFont val="Arial Narrow"/>
        <family val="2"/>
        <charset val="238"/>
      </rPr>
      <t xml:space="preserve"> =</t>
    </r>
  </si>
  <si>
    <t>plocha předpínacích vložek působících v průřezu</t>
  </si>
  <si>
    <t>předpínací síla působí na excentricitě k těžišti betonového průřezu</t>
  </si>
  <si>
    <t>pozn.:</t>
  </si>
  <si>
    <r>
      <t>A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 xml:space="preserve"> =</t>
    </r>
  </si>
  <si>
    <r>
      <t xml:space="preserve">počáteční napětí ve výztuži </t>
    </r>
    <r>
      <rPr>
        <b/>
        <sz val="9"/>
        <color indexed="8"/>
        <rFont val="Arial Narrow"/>
        <family val="2"/>
        <charset val="238"/>
      </rPr>
      <t>(max napětí při předpínání)</t>
    </r>
  </si>
  <si>
    <t>výsledné napětí [MPa], předpínací síly [kN] a moment od předpjetí [kNm] pro jednotlivé časové úseky v polovině rozpětí (L/2)</t>
  </si>
  <si>
    <r>
      <t>výsledné napětí [MPa], předpínací síly [kN] a  moment od předpjetí [kNm] pro jednotlivé časové úseky u podpory ( ve vzdálenosti l</t>
    </r>
    <r>
      <rPr>
        <b/>
        <vertAlign val="subscript"/>
        <sz val="11"/>
        <color indexed="8"/>
        <rFont val="Arial Narrow"/>
        <family val="2"/>
        <charset val="238"/>
      </rPr>
      <t>pt1</t>
    </r>
    <r>
      <rPr>
        <b/>
        <sz val="11"/>
        <color indexed="8"/>
        <rFont val="Arial Narrow"/>
        <family val="2"/>
        <charset val="238"/>
      </rPr>
      <t>)</t>
    </r>
  </si>
  <si>
    <t>[Mpa; kN; kNm]</t>
  </si>
  <si>
    <r>
      <t>M</t>
    </r>
    <r>
      <rPr>
        <vertAlign val="subscript"/>
        <sz val="11"/>
        <color indexed="8"/>
        <rFont val="Arial Narrow"/>
        <family val="2"/>
        <charset val="238"/>
      </rPr>
      <t>p,in</t>
    </r>
    <r>
      <rPr>
        <sz val="11"/>
        <color indexed="8"/>
        <rFont val="Arial Narrow"/>
        <family val="2"/>
        <charset val="238"/>
      </rPr>
      <t xml:space="preserve"> =</t>
    </r>
  </si>
  <si>
    <r>
      <t>M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 xml:space="preserve"> =</t>
    </r>
  </si>
  <si>
    <r>
      <t>M</t>
    </r>
    <r>
      <rPr>
        <vertAlign val="subscript"/>
        <sz val="11"/>
        <color indexed="8"/>
        <rFont val="Arial Narrow"/>
        <family val="2"/>
        <charset val="238"/>
      </rPr>
      <t>p,tr</t>
    </r>
    <r>
      <rPr>
        <sz val="11"/>
        <color indexed="8"/>
        <rFont val="Arial Narrow"/>
        <family val="2"/>
        <charset val="238"/>
      </rPr>
      <t xml:space="preserve"> =</t>
    </r>
  </si>
  <si>
    <r>
      <t>M</t>
    </r>
    <r>
      <rPr>
        <vertAlign val="subscript"/>
        <sz val="11"/>
        <color indexed="8"/>
        <rFont val="Arial Narrow"/>
        <family val="2"/>
        <charset val="238"/>
      </rPr>
      <t>p,tg+q</t>
    </r>
    <r>
      <rPr>
        <sz val="11"/>
        <color indexed="8"/>
        <rFont val="Arial Narrow"/>
        <family val="2"/>
        <charset val="238"/>
      </rPr>
      <t xml:space="preserve"> =</t>
    </r>
  </si>
  <si>
    <r>
      <t>M</t>
    </r>
    <r>
      <rPr>
        <vertAlign val="subscript"/>
        <sz val="11"/>
        <color indexed="8"/>
        <rFont val="Arial Narrow"/>
        <family val="2"/>
        <charset val="238"/>
      </rPr>
      <t>p,t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11"/>
        <color indexed="8"/>
        <rFont val="Arial Narrow"/>
        <family val="2"/>
        <charset val="238"/>
      </rPr>
      <t xml:space="preserve"> =</t>
    </r>
  </si>
  <si>
    <t>změna předpětí okamžitým pružným přetvořením od krátkodobé složky nahodilého zatížení</t>
  </si>
  <si>
    <t>uvažovaný moment od krátkodobé složky v L/2</t>
  </si>
  <si>
    <r>
      <t>uvažovaný moment od krátkodobé složky v l</t>
    </r>
    <r>
      <rPr>
        <vertAlign val="subscript"/>
        <sz val="11"/>
        <color indexed="8"/>
        <rFont val="Arial Narrow"/>
        <family val="2"/>
        <charset val="238"/>
      </rPr>
      <t>pt1</t>
    </r>
  </si>
  <si>
    <r>
      <t>M*</t>
    </r>
    <r>
      <rPr>
        <vertAlign val="subscript"/>
        <sz val="11"/>
        <color indexed="8"/>
        <rFont val="Arial Narrow"/>
        <family val="2"/>
        <charset val="238"/>
      </rPr>
      <t xml:space="preserve">e,Qk </t>
    </r>
    <r>
      <rPr>
        <sz val="9"/>
        <color indexed="8"/>
        <rFont val="Arial Narrow"/>
        <family val="2"/>
        <charset val="238"/>
      </rPr>
      <t>(L/2)</t>
    </r>
  </si>
  <si>
    <r>
      <t>M*</t>
    </r>
    <r>
      <rPr>
        <vertAlign val="subscript"/>
        <sz val="11"/>
        <color indexed="8"/>
        <rFont val="Arial Narrow"/>
        <family val="2"/>
        <charset val="238"/>
      </rPr>
      <t xml:space="preserve">e,Qk 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>)</t>
    </r>
  </si>
  <si>
    <r>
      <t>M*</t>
    </r>
    <r>
      <rPr>
        <vertAlign val="subscript"/>
        <sz val="11"/>
        <color indexed="8"/>
        <rFont val="Arial Narrow"/>
        <family val="2"/>
        <charset val="238"/>
      </rPr>
      <t>e,Qk</t>
    </r>
    <r>
      <rPr>
        <sz val="11"/>
        <color indexed="8"/>
        <rFont val="Arial Narrow"/>
        <family val="2"/>
        <charset val="238"/>
      </rPr>
      <t xml:space="preserve"> = (1-</t>
    </r>
    <r>
      <rPr>
        <sz val="12"/>
        <color indexed="8"/>
        <rFont val="Symbol"/>
        <family val="1"/>
        <charset val="2"/>
      </rPr>
      <t>y</t>
    </r>
    <r>
      <rPr>
        <vertAlign val="subscript"/>
        <sz val="11"/>
        <color indexed="8"/>
        <rFont val="Arial Narrow"/>
        <family val="2"/>
        <charset val="238"/>
      </rPr>
      <t>2,1</t>
    </r>
    <r>
      <rPr>
        <sz val="11"/>
        <color indexed="8"/>
        <rFont val="Arial Narrow"/>
        <family val="2"/>
        <charset val="238"/>
      </rPr>
      <t>)*M</t>
    </r>
    <r>
      <rPr>
        <vertAlign val="subscript"/>
        <sz val="11"/>
        <color indexed="8"/>
        <rFont val="Arial Narrow"/>
        <family val="2"/>
        <charset val="238"/>
      </rPr>
      <t>E,Qk</t>
    </r>
  </si>
  <si>
    <t>změna napětí ve výztuži v L/2</t>
  </si>
  <si>
    <r>
      <t>změna napětí ve výztuži v l</t>
    </r>
    <r>
      <rPr>
        <vertAlign val="subscript"/>
        <sz val="11"/>
        <color indexed="8"/>
        <rFont val="Arial Narrow"/>
        <family val="2"/>
        <charset val="238"/>
      </rPr>
      <t>pt1</t>
    </r>
  </si>
  <si>
    <r>
      <rPr>
        <sz val="12"/>
        <color indexed="8"/>
        <rFont val="Symbol"/>
        <family val="1"/>
        <charset val="2"/>
      </rPr>
      <t>Ds</t>
    </r>
    <r>
      <rPr>
        <vertAlign val="subscript"/>
        <sz val="11"/>
        <color indexed="8"/>
        <rFont val="Arial Narrow"/>
        <family val="2"/>
        <charset val="238"/>
      </rPr>
      <t>pegQ</t>
    </r>
    <r>
      <rPr>
        <sz val="9"/>
        <color indexed="8"/>
        <rFont val="Arial Narrow"/>
        <family val="2"/>
        <charset val="238"/>
      </rPr>
      <t>(L/2)</t>
    </r>
  </si>
  <si>
    <r>
      <rPr>
        <sz val="12"/>
        <color indexed="8"/>
        <rFont val="Symbol"/>
        <family val="1"/>
        <charset val="2"/>
      </rPr>
      <t>Ds</t>
    </r>
    <r>
      <rPr>
        <vertAlign val="subscript"/>
        <sz val="11"/>
        <color indexed="8"/>
        <rFont val="Arial Narrow"/>
        <family val="2"/>
        <charset val="238"/>
      </rPr>
      <t>pegQ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>)</t>
    </r>
  </si>
  <si>
    <t>napětí ve výztuži bez ztráty pružným přetvořením  v L/2</t>
  </si>
  <si>
    <r>
      <t>síla působící v průřezu v čase t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11"/>
        <color indexed="8"/>
        <rFont val="Arial"/>
        <family val="2"/>
        <charset val="238"/>
      </rPr>
      <t xml:space="preserve"> </t>
    </r>
    <r>
      <rPr>
        <sz val="11"/>
        <color indexed="8"/>
        <rFont val="Arial Narrow"/>
        <family val="2"/>
        <charset val="238"/>
      </rPr>
      <t>(pro výpočet s ideálním průřezem!)</t>
    </r>
  </si>
  <si>
    <r>
      <t>mezní napětí v tahu v čase t</t>
    </r>
    <r>
      <rPr>
        <vertAlign val="subscript"/>
        <sz val="11"/>
        <color indexed="8"/>
        <rFont val="Arial"/>
        <family val="2"/>
        <charset val="238"/>
      </rPr>
      <t>∞</t>
    </r>
  </si>
  <si>
    <r>
      <t>mezní napětí v tlaku v čase t</t>
    </r>
    <r>
      <rPr>
        <vertAlign val="subscript"/>
        <sz val="11"/>
        <color indexed="8"/>
        <rFont val="Arial"/>
        <family val="2"/>
        <charset val="238"/>
      </rPr>
      <t>∞</t>
    </r>
  </si>
  <si>
    <r>
      <t>f</t>
    </r>
    <r>
      <rPr>
        <vertAlign val="subscript"/>
        <sz val="11"/>
        <color indexed="8"/>
        <rFont val="Arial Narrow"/>
        <family val="2"/>
        <charset val="238"/>
      </rPr>
      <t>ctm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11"/>
        <color indexed="8"/>
        <rFont val="Arial Narrow"/>
        <family val="2"/>
        <charset val="238"/>
      </rPr>
      <t>)</t>
    </r>
  </si>
  <si>
    <r>
      <t>f</t>
    </r>
    <r>
      <rPr>
        <vertAlign val="subscript"/>
        <sz val="11"/>
        <color indexed="8"/>
        <rFont val="Arial Narrow"/>
        <family val="2"/>
        <charset val="238"/>
      </rPr>
      <t>ck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11"/>
        <color indexed="8"/>
        <rFont val="Arial Narrow"/>
        <family val="2"/>
        <charset val="238"/>
      </rPr>
      <t>)</t>
    </r>
  </si>
  <si>
    <r>
      <t>průřez uprostřed rozpětí v čase t</t>
    </r>
    <r>
      <rPr>
        <b/>
        <vertAlign val="subscript"/>
        <sz val="11"/>
        <color indexed="8"/>
        <rFont val="Arial"/>
        <family val="2"/>
        <charset val="238"/>
      </rPr>
      <t>∞</t>
    </r>
  </si>
  <si>
    <r>
      <t xml:space="preserve">moment od působícího zatížení </t>
    </r>
    <r>
      <rPr>
        <sz val="9"/>
        <color indexed="8"/>
        <rFont val="Arial Narrow"/>
        <family val="2"/>
        <charset val="238"/>
      </rPr>
      <t>(charakteristická kombi)</t>
    </r>
  </si>
  <si>
    <r>
      <t>M</t>
    </r>
    <r>
      <rPr>
        <vertAlign val="subscript"/>
        <sz val="11"/>
        <color indexed="8"/>
        <rFont val="Arial Narrow"/>
        <family val="2"/>
        <charset val="238"/>
      </rPr>
      <t>E</t>
    </r>
    <r>
      <rPr>
        <vertAlign val="subscript"/>
        <sz val="11"/>
        <color indexed="8"/>
        <rFont val="Arial Narrow"/>
        <family val="2"/>
        <charset val="238"/>
      </rPr>
      <t xml:space="preserve">k </t>
    </r>
    <r>
      <rPr>
        <sz val="9"/>
        <color indexed="8"/>
        <rFont val="Arial Narrow"/>
        <family val="2"/>
        <charset val="238"/>
      </rPr>
      <t>(L/2)</t>
    </r>
  </si>
  <si>
    <t>moment od charakteristické kombi v L/2 (s v.v.)</t>
  </si>
  <si>
    <r>
      <t>moment od charakteristické kombi v l</t>
    </r>
    <r>
      <rPr>
        <vertAlign val="subscript"/>
        <sz val="11"/>
        <color indexed="8"/>
        <rFont val="Arial Narrow"/>
        <family val="2"/>
        <charset val="238"/>
      </rPr>
      <t>pt1</t>
    </r>
    <r>
      <rPr>
        <sz val="11"/>
        <color indexed="8"/>
        <rFont val="Arial Narrow"/>
        <family val="2"/>
        <charset val="238"/>
      </rPr>
      <t xml:space="preserve"> (s v.v.)</t>
    </r>
  </si>
  <si>
    <r>
      <t>M</t>
    </r>
    <r>
      <rPr>
        <vertAlign val="subscript"/>
        <sz val="11"/>
        <color indexed="8"/>
        <rFont val="Arial Narrow"/>
        <family val="2"/>
        <charset val="238"/>
      </rPr>
      <t>E</t>
    </r>
    <r>
      <rPr>
        <vertAlign val="subscript"/>
        <sz val="11"/>
        <color indexed="8"/>
        <rFont val="Arial Narrow"/>
        <family val="2"/>
        <charset val="238"/>
      </rPr>
      <t xml:space="preserve">k 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>)</t>
    </r>
  </si>
  <si>
    <r>
      <t>M</t>
    </r>
    <r>
      <rPr>
        <vertAlign val="subscript"/>
        <sz val="11"/>
        <color indexed="8"/>
        <rFont val="Arial Narrow"/>
        <family val="2"/>
        <charset val="238"/>
      </rPr>
      <t>e,</t>
    </r>
    <r>
      <rPr>
        <vertAlign val="subscript"/>
        <sz val="11"/>
        <color indexed="8"/>
        <rFont val="Symbol"/>
        <family val="1"/>
        <charset val="2"/>
      </rPr>
      <t>y2</t>
    </r>
    <r>
      <rPr>
        <vertAlign val="subscript"/>
        <sz val="11"/>
        <color indexed="8"/>
        <rFont val="Arial Narrow"/>
        <family val="2"/>
        <charset val="238"/>
      </rPr>
      <t xml:space="preserve"> </t>
    </r>
    <r>
      <rPr>
        <sz val="9"/>
        <color indexed="8"/>
        <rFont val="Arial Narrow"/>
        <family val="2"/>
        <charset val="238"/>
      </rPr>
      <t>(L/2)</t>
    </r>
    <r>
      <rPr>
        <sz val="11"/>
        <color indexed="8"/>
        <rFont val="Arial Narrow"/>
        <family val="2"/>
        <charset val="238"/>
      </rPr>
      <t xml:space="preserve"> = M</t>
    </r>
    <r>
      <rPr>
        <vertAlign val="subscript"/>
        <sz val="11"/>
        <color indexed="8"/>
        <rFont val="Arial Narrow"/>
        <family val="2"/>
        <charset val="238"/>
      </rPr>
      <t>E,0k</t>
    </r>
    <r>
      <rPr>
        <sz val="11"/>
        <color indexed="8"/>
        <rFont val="Arial Narrow"/>
        <family val="2"/>
        <charset val="238"/>
      </rPr>
      <t xml:space="preserve"> + M</t>
    </r>
    <r>
      <rPr>
        <vertAlign val="subscript"/>
        <sz val="11"/>
        <color indexed="8"/>
        <rFont val="Arial Narrow"/>
        <family val="2"/>
        <charset val="238"/>
      </rPr>
      <t>E,gk</t>
    </r>
    <r>
      <rPr>
        <sz val="11"/>
        <color indexed="8"/>
        <rFont val="Arial Narrow"/>
        <family val="2"/>
        <charset val="238"/>
      </rPr>
      <t xml:space="preserve"> + </t>
    </r>
    <r>
      <rPr>
        <sz val="11"/>
        <color indexed="8"/>
        <rFont val="Arial Narrow"/>
        <family val="2"/>
        <charset val="238"/>
      </rPr>
      <t>M</t>
    </r>
    <r>
      <rPr>
        <vertAlign val="subscript"/>
        <sz val="11"/>
        <color indexed="8"/>
        <rFont val="Arial Narrow"/>
        <family val="2"/>
        <charset val="238"/>
      </rPr>
      <t>E,qk</t>
    </r>
  </si>
  <si>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h,t</t>
    </r>
    <r>
      <rPr>
        <b/>
        <vertAlign val="subscript"/>
        <sz val="11"/>
        <color indexed="8"/>
        <rFont val="Arial"/>
        <family val="2"/>
        <charset val="238"/>
      </rPr>
      <t>∞</t>
    </r>
  </si>
  <si>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d,t</t>
    </r>
    <r>
      <rPr>
        <b/>
        <vertAlign val="subscript"/>
        <sz val="11"/>
        <color indexed="8"/>
        <rFont val="Arial"/>
        <family val="2"/>
        <charset val="238"/>
      </rPr>
      <t>∞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</si>
  <si>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k,inf,t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9"/>
        <color indexed="8"/>
        <rFont val="Arial Narrow"/>
        <family val="2"/>
        <charset val="238"/>
      </rPr>
      <t>(L/2)</t>
    </r>
  </si>
  <si>
    <r>
      <t>M</t>
    </r>
    <r>
      <rPr>
        <vertAlign val="subscript"/>
        <sz val="11"/>
        <color indexed="8"/>
        <rFont val="Arial Narrow"/>
        <family val="2"/>
        <charset val="238"/>
      </rPr>
      <t>p,t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9"/>
        <color indexed="8"/>
        <rFont val="Arial Narrow"/>
        <family val="2"/>
        <charset val="238"/>
      </rPr>
      <t>(L/2)</t>
    </r>
  </si>
  <si>
    <t>posouzení lineárního chování betonu</t>
  </si>
  <si>
    <t>horní vlákna: posouzení vzniku podélných trhlin</t>
  </si>
  <si>
    <t>dolní vlákna: posouzení vzniku tahových trhlin</t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</si>
  <si>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h,t</t>
    </r>
    <r>
      <rPr>
        <vertAlign val="subscript"/>
        <sz val="11"/>
        <color indexed="8"/>
        <rFont val="Arial"/>
        <family val="2"/>
        <charset val="238"/>
      </rPr>
      <t>∞</t>
    </r>
    <r>
      <rPr>
        <vertAlign val="subscript"/>
        <sz val="11"/>
        <color indexed="8"/>
        <rFont val="Arial Narrow"/>
        <family val="2"/>
        <charset val="238"/>
      </rPr>
      <t xml:space="preserve"> </t>
    </r>
    <r>
      <rPr>
        <sz val="11"/>
        <color indexed="8"/>
        <rFont val="Arial Narrow"/>
        <family val="2"/>
        <charset val="238"/>
      </rPr>
      <t>&lt; 0,6  *f</t>
    </r>
    <r>
      <rPr>
        <vertAlign val="subscript"/>
        <sz val="11"/>
        <color indexed="8"/>
        <rFont val="Arial Narrow"/>
        <family val="2"/>
        <charset val="238"/>
      </rPr>
      <t>ck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11"/>
        <color indexed="8"/>
        <rFont val="Arial Narrow"/>
        <family val="2"/>
        <charset val="238"/>
      </rPr>
      <t>)</t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</si>
  <si>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d,t</t>
    </r>
    <r>
      <rPr>
        <vertAlign val="subscript"/>
        <sz val="11"/>
        <color indexed="8"/>
        <rFont val="Arial"/>
        <family val="2"/>
        <charset val="238"/>
      </rPr>
      <t>∞</t>
    </r>
    <r>
      <rPr>
        <vertAlign val="subscript"/>
        <sz val="11"/>
        <color indexed="8"/>
        <rFont val="Arial Narrow"/>
        <family val="2"/>
        <charset val="238"/>
      </rPr>
      <t xml:space="preserve"> </t>
    </r>
    <r>
      <rPr>
        <sz val="11"/>
        <color indexed="8"/>
        <rFont val="Arial Narrow"/>
        <family val="2"/>
        <charset val="238"/>
      </rPr>
      <t>&lt; f</t>
    </r>
    <r>
      <rPr>
        <vertAlign val="subscript"/>
        <sz val="11"/>
        <color indexed="8"/>
        <rFont val="Arial Narrow"/>
        <family val="2"/>
        <charset val="238"/>
      </rPr>
      <t>ctm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11"/>
        <color indexed="8"/>
        <rFont val="Arial Narrow"/>
        <family val="2"/>
        <charset val="238"/>
      </rPr>
      <t>)</t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</si>
  <si>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h,t</t>
    </r>
    <r>
      <rPr>
        <vertAlign val="subscript"/>
        <sz val="11"/>
        <color indexed="8"/>
        <rFont val="Arial"/>
        <family val="2"/>
        <charset val="238"/>
      </rPr>
      <t>∞</t>
    </r>
    <r>
      <rPr>
        <vertAlign val="subscript"/>
        <sz val="11"/>
        <color indexed="8"/>
        <rFont val="Arial Narrow"/>
        <family val="2"/>
        <charset val="238"/>
      </rPr>
      <t xml:space="preserve"> </t>
    </r>
    <r>
      <rPr>
        <sz val="11"/>
        <color indexed="8"/>
        <rFont val="Arial Narrow"/>
        <family val="2"/>
        <charset val="238"/>
      </rPr>
      <t>&lt; 0,45  *f</t>
    </r>
    <r>
      <rPr>
        <vertAlign val="subscript"/>
        <sz val="11"/>
        <color indexed="8"/>
        <rFont val="Arial Narrow"/>
        <family val="2"/>
        <charset val="238"/>
      </rPr>
      <t>ck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11"/>
        <color indexed="8"/>
        <rFont val="Arial Narrow"/>
        <family val="2"/>
        <charset val="238"/>
      </rPr>
      <t>)</t>
    </r>
  </si>
  <si>
    <t>horní vlákna: posouzení vzniku tahových trhlin</t>
  </si>
  <si>
    <t>dolní vlákna: posouzení vzniku podélných trhlin</t>
  </si>
  <si>
    <r>
      <t>M</t>
    </r>
    <r>
      <rPr>
        <vertAlign val="subscript"/>
        <sz val="11"/>
        <color indexed="8"/>
        <rFont val="Arial Narrow"/>
        <family val="2"/>
        <charset val="238"/>
      </rPr>
      <t xml:space="preserve">Ek </t>
    </r>
    <r>
      <rPr>
        <sz val="11"/>
        <color indexed="8"/>
        <rFont val="Arial Narrow"/>
        <family val="2"/>
        <charset val="238"/>
      </rPr>
      <t>(l</t>
    </r>
    <r>
      <rPr>
        <vertAlign val="subscript"/>
        <sz val="11"/>
        <color indexed="8"/>
        <rFont val="Arial Narrow"/>
        <family val="2"/>
        <charset val="238"/>
      </rPr>
      <t>pt1</t>
    </r>
    <r>
      <rPr>
        <sz val="11"/>
        <color indexed="8"/>
        <rFont val="Arial Narrow"/>
        <family val="2"/>
        <charset val="238"/>
      </rPr>
      <t>)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</si>
  <si>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k,sup,t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>)</t>
    </r>
  </si>
  <si>
    <r>
      <t>M</t>
    </r>
    <r>
      <rPr>
        <vertAlign val="subscript"/>
        <sz val="11"/>
        <color indexed="8"/>
        <rFont val="Arial Narrow"/>
        <family val="2"/>
        <charset val="238"/>
      </rPr>
      <t>p,t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11"/>
        <color indexed="8"/>
        <rFont val="Arial Narrow"/>
        <family val="2"/>
        <charset val="238"/>
      </rPr>
      <t>(l</t>
    </r>
    <r>
      <rPr>
        <vertAlign val="subscript"/>
        <sz val="11"/>
        <color indexed="8"/>
        <rFont val="Arial Narrow"/>
        <family val="2"/>
        <charset val="238"/>
      </rPr>
      <t>pt1</t>
    </r>
    <r>
      <rPr>
        <sz val="11"/>
        <color indexed="8"/>
        <rFont val="Arial Narrow"/>
        <family val="2"/>
        <charset val="238"/>
      </rPr>
      <t>)</t>
    </r>
  </si>
  <si>
    <t>POSOUZENÍ PRVKU NA OHYB - MSÚ</t>
  </si>
  <si>
    <t>síla v jedné výztuži</t>
  </si>
  <si>
    <r>
      <t>průřez v polovině rozpětí L/2 v čase t</t>
    </r>
    <r>
      <rPr>
        <b/>
        <vertAlign val="subscript"/>
        <sz val="11"/>
        <color indexed="8"/>
        <rFont val="Arial"/>
        <family val="2"/>
        <charset val="238"/>
      </rPr>
      <t>∞</t>
    </r>
  </si>
  <si>
    <r>
      <t>M</t>
    </r>
    <r>
      <rPr>
        <vertAlign val="subscript"/>
        <sz val="11"/>
        <color indexed="8"/>
        <rFont val="Arial Narrow"/>
        <family val="2"/>
        <charset val="238"/>
      </rPr>
      <t>E</t>
    </r>
    <r>
      <rPr>
        <vertAlign val="subscript"/>
        <sz val="11"/>
        <color indexed="8"/>
        <rFont val="Arial Narrow"/>
        <family val="2"/>
        <charset val="238"/>
      </rPr>
      <t xml:space="preserve">,d </t>
    </r>
  </si>
  <si>
    <r>
      <t>M</t>
    </r>
    <r>
      <rPr>
        <vertAlign val="subscript"/>
        <sz val="11"/>
        <color indexed="8"/>
        <rFont val="Arial Narrow"/>
        <family val="2"/>
        <charset val="238"/>
      </rPr>
      <t xml:space="preserve">Ed </t>
    </r>
    <r>
      <rPr>
        <sz val="11"/>
        <color indexed="8"/>
        <rFont val="Arial Narrow"/>
        <family val="2"/>
        <charset val="238"/>
      </rPr>
      <t xml:space="preserve"> = 1,35*M</t>
    </r>
    <r>
      <rPr>
        <vertAlign val="subscript"/>
        <sz val="11"/>
        <color indexed="8"/>
        <rFont val="Arial Narrow"/>
        <family val="2"/>
        <charset val="238"/>
      </rPr>
      <t>E,0k</t>
    </r>
    <r>
      <rPr>
        <sz val="11"/>
        <color indexed="8"/>
        <rFont val="Arial Narrow"/>
        <family val="2"/>
        <charset val="238"/>
      </rPr>
      <t xml:space="preserve"> + 1,35*M</t>
    </r>
    <r>
      <rPr>
        <vertAlign val="subscript"/>
        <sz val="11"/>
        <color indexed="8"/>
        <rFont val="Arial Narrow"/>
        <family val="2"/>
        <charset val="238"/>
      </rPr>
      <t>E,gk</t>
    </r>
    <r>
      <rPr>
        <sz val="11"/>
        <color indexed="8"/>
        <rFont val="Arial Narrow"/>
        <family val="2"/>
        <charset val="238"/>
      </rPr>
      <t xml:space="preserve"> + </t>
    </r>
    <r>
      <rPr>
        <sz val="12"/>
        <color indexed="8"/>
        <rFont val="Symbol"/>
        <family val="1"/>
        <charset val="2"/>
      </rPr>
      <t>y</t>
    </r>
    <r>
      <rPr>
        <vertAlign val="subscript"/>
        <sz val="11"/>
        <color indexed="8"/>
        <rFont val="Arial Narrow"/>
        <family val="2"/>
        <charset val="238"/>
      </rPr>
      <t>0</t>
    </r>
    <r>
      <rPr>
        <sz val="11"/>
        <color indexed="8"/>
        <rFont val="Arial Narrow"/>
        <family val="2"/>
        <charset val="238"/>
      </rPr>
      <t>*1,5*M</t>
    </r>
    <r>
      <rPr>
        <vertAlign val="subscript"/>
        <sz val="11"/>
        <color indexed="8"/>
        <rFont val="Arial Narrow"/>
        <family val="2"/>
        <charset val="238"/>
      </rPr>
      <t>E,qk</t>
    </r>
  </si>
  <si>
    <r>
      <rPr>
        <sz val="12"/>
        <color indexed="8"/>
        <rFont val="Symbol"/>
        <family val="1"/>
        <charset val="2"/>
      </rPr>
      <t>y</t>
    </r>
    <r>
      <rPr>
        <vertAlign val="subscript"/>
        <sz val="11"/>
        <color indexed="8"/>
        <rFont val="Arial Narrow"/>
        <family val="2"/>
        <charset val="238"/>
      </rPr>
      <t>0</t>
    </r>
  </si>
  <si>
    <t>dílčí součinitel předpětí</t>
  </si>
  <si>
    <r>
      <t>návrhová hodnota předpínací síly v t</t>
    </r>
    <r>
      <rPr>
        <vertAlign val="subscript"/>
        <sz val="11"/>
        <color indexed="8"/>
        <rFont val="Arial"/>
        <family val="2"/>
        <charset val="238"/>
      </rPr>
      <t>∞</t>
    </r>
  </si>
  <si>
    <t>(2.4.2.2. čl. (1))</t>
  </si>
  <si>
    <r>
      <t>N</t>
    </r>
    <r>
      <rPr>
        <vertAlign val="subscript"/>
        <sz val="11"/>
        <color indexed="8"/>
        <rFont val="Arial Narrow"/>
        <family val="2"/>
        <charset val="238"/>
      </rPr>
      <t>pd,t</t>
    </r>
    <r>
      <rPr>
        <vertAlign val="subscript"/>
        <sz val="11"/>
        <color indexed="8"/>
        <rFont val="Arial"/>
        <family val="2"/>
        <charset val="238"/>
      </rPr>
      <t>∞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</si>
  <si>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pd,t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11"/>
        <color indexed="8"/>
        <rFont val="Arial"/>
        <family val="2"/>
        <charset val="238"/>
      </rPr>
      <t xml:space="preserve"> = N</t>
    </r>
    <r>
      <rPr>
        <vertAlign val="subscript"/>
        <sz val="11"/>
        <color indexed="8"/>
        <rFont val="Arial"/>
        <family val="2"/>
        <charset val="238"/>
      </rPr>
      <t>p,t∞</t>
    </r>
    <r>
      <rPr>
        <sz val="11"/>
        <color indexed="8"/>
        <rFont val="Arial"/>
        <family val="2"/>
        <charset val="238"/>
      </rPr>
      <t xml:space="preserve"> * </t>
    </r>
    <r>
      <rPr>
        <sz val="12"/>
        <color indexed="8"/>
        <rFont val="Symbol"/>
        <family val="1"/>
        <charset val="2"/>
      </rPr>
      <t>g</t>
    </r>
    <r>
      <rPr>
        <vertAlign val="subscript"/>
        <sz val="11"/>
        <color indexed="8"/>
        <rFont val="Arial"/>
        <family val="2"/>
        <charset val="238"/>
      </rPr>
      <t>p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</si>
  <si>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tot</t>
    </r>
    <r>
      <rPr>
        <sz val="11"/>
        <color indexed="8"/>
        <rFont val="Arial Narrow"/>
        <family val="2"/>
        <charset val="238"/>
      </rPr>
      <t xml:space="preserve"> = N</t>
    </r>
    <r>
      <rPr>
        <vertAlign val="subscript"/>
        <sz val="11"/>
        <color indexed="8"/>
        <rFont val="Cambria"/>
        <family val="1"/>
        <charset val="238"/>
      </rPr>
      <t>pd,t∞</t>
    </r>
  </si>
  <si>
    <r>
      <t>základní napětí v předpínací výztuži v t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11"/>
        <color indexed="8"/>
        <rFont val="Arial Narrow"/>
        <family val="2"/>
        <charset val="238"/>
      </rPr>
      <t xml:space="preserve"> </t>
    </r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0</t>
    </r>
    <r>
      <rPr>
        <sz val="11"/>
        <color indexed="8"/>
        <rFont val="Arial Narrow"/>
        <family val="2"/>
        <charset val="238"/>
      </rPr>
      <t xml:space="preserve"> = </t>
    </r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p∞</t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</si>
  <si>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0</t>
    </r>
    <r>
      <rPr>
        <sz val="11"/>
        <color indexed="8"/>
        <rFont val="Arial Narrow"/>
        <family val="2"/>
        <charset val="238"/>
      </rPr>
      <t/>
    </r>
  </si>
  <si>
    <t>přetvoření předpínací výztuže</t>
  </si>
  <si>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0</t>
    </r>
    <r>
      <rPr>
        <sz val="11"/>
        <color indexed="8"/>
        <rFont val="Arial Narrow"/>
        <family val="2"/>
        <charset val="238"/>
      </rPr>
      <t/>
    </r>
  </si>
  <si>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0</t>
    </r>
    <r>
      <rPr>
        <sz val="11"/>
        <color indexed="8"/>
        <rFont val="Arial Narrow"/>
        <family val="2"/>
        <charset val="238"/>
      </rPr>
      <t xml:space="preserve"> = </t>
    </r>
    <r>
      <rPr>
        <sz val="12"/>
        <color indexed="8"/>
        <rFont val="Symbol"/>
        <family val="1"/>
        <charset val="2"/>
      </rPr>
      <t>s</t>
    </r>
    <r>
      <rPr>
        <vertAlign val="superscript"/>
        <sz val="11"/>
        <color indexed="8"/>
        <rFont val="Arial Narrow"/>
        <family val="2"/>
        <charset val="238"/>
      </rPr>
      <t>0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 xml:space="preserve"> / E</t>
    </r>
    <r>
      <rPr>
        <vertAlign val="subscript"/>
        <sz val="11"/>
        <color indexed="8"/>
        <rFont val="Arial Narrow"/>
        <family val="2"/>
        <charset val="238"/>
      </rPr>
      <t>p</t>
    </r>
  </si>
  <si>
    <t>limitní přetvoření (přetvoření na mezi kluzu)</t>
  </si>
  <si>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py</t>
    </r>
  </si>
  <si>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py</t>
    </r>
    <r>
      <rPr>
        <sz val="11"/>
        <color indexed="8"/>
        <rFont val="Arial Narrow"/>
        <family val="2"/>
        <charset val="238"/>
      </rPr>
      <t xml:space="preserve"> = f</t>
    </r>
    <r>
      <rPr>
        <vertAlign val="subscript"/>
        <sz val="11"/>
        <color indexed="8"/>
        <rFont val="Arial Narrow"/>
        <family val="2"/>
        <charset val="238"/>
      </rPr>
      <t>pd</t>
    </r>
    <r>
      <rPr>
        <sz val="11"/>
        <color indexed="8"/>
        <rFont val="Arial Narrow"/>
        <family val="2"/>
        <charset val="238"/>
      </rPr>
      <t xml:space="preserve"> / E</t>
    </r>
    <r>
      <rPr>
        <vertAlign val="subscript"/>
        <sz val="11"/>
        <color indexed="8"/>
        <rFont val="Arial Narrow"/>
        <family val="2"/>
        <charset val="238"/>
      </rPr>
      <t>p</t>
    </r>
  </si>
  <si>
    <t>rezerva v předpínací výztuži</t>
  </si>
  <si>
    <r>
      <rPr>
        <sz val="12"/>
        <color indexed="8"/>
        <rFont val="Symbol"/>
        <family val="1"/>
        <charset val="2"/>
      </rPr>
      <t>Ds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/>
    </r>
  </si>
  <si>
    <r>
      <rPr>
        <sz val="12"/>
        <color indexed="8"/>
        <rFont val="Symbol"/>
        <family val="1"/>
        <charset val="2"/>
      </rPr>
      <t>Ds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 xml:space="preserve"> = f</t>
    </r>
    <r>
      <rPr>
        <vertAlign val="subscript"/>
        <sz val="11"/>
        <color indexed="8"/>
        <rFont val="Arial Narrow"/>
        <family val="2"/>
        <charset val="238"/>
      </rPr>
      <t>pd</t>
    </r>
    <r>
      <rPr>
        <sz val="11"/>
        <color indexed="8"/>
        <rFont val="Arial Narrow"/>
        <family val="2"/>
        <charset val="238"/>
      </rPr>
      <t xml:space="preserve"> -</t>
    </r>
    <r>
      <rPr>
        <sz val="12"/>
        <color indexed="8"/>
        <rFont val="Symbol"/>
        <family val="1"/>
        <charset val="2"/>
      </rPr>
      <t xml:space="preserve"> s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0</t>
    </r>
  </si>
  <si>
    <t>výpočtová hodnota meze kluzu předpínací výztuže</t>
  </si>
  <si>
    <r>
      <t>f</t>
    </r>
    <r>
      <rPr>
        <vertAlign val="subscript"/>
        <sz val="11"/>
        <color indexed="8"/>
        <rFont val="Arial Narrow"/>
        <family val="2"/>
        <charset val="238"/>
      </rPr>
      <t>pd</t>
    </r>
  </si>
  <si>
    <t>změna velikosti síly v horní předpínací výztuži</t>
  </si>
  <si>
    <t>změna velikosti síly v dolní předpínací výztuži</t>
  </si>
  <si>
    <r>
      <rPr>
        <sz val="12"/>
        <color indexed="8"/>
        <rFont val="Symbol"/>
        <family val="1"/>
        <charset val="2"/>
      </rPr>
      <t>D</t>
    </r>
    <r>
      <rPr>
        <sz val="11"/>
        <color indexed="8"/>
        <rFont val="Arial Narrow"/>
        <family val="2"/>
        <charset val="238"/>
      </rPr>
      <t>F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h</t>
    </r>
  </si>
  <si>
    <r>
      <rPr>
        <sz val="12"/>
        <color indexed="8"/>
        <rFont val="Symbol"/>
        <family val="1"/>
        <charset val="2"/>
      </rPr>
      <t>D</t>
    </r>
    <r>
      <rPr>
        <sz val="11"/>
        <color indexed="8"/>
        <rFont val="Arial Narrow"/>
        <family val="2"/>
        <charset val="238"/>
      </rPr>
      <t>F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d</t>
    </r>
  </si>
  <si>
    <t>plocha horní předpínací výztuže</t>
  </si>
  <si>
    <t>plocha dolní předpínací výztuže</t>
  </si>
  <si>
    <r>
      <t>A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h</t>
    </r>
  </si>
  <si>
    <r>
      <t>A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d</t>
    </r>
  </si>
  <si>
    <r>
      <rPr>
        <sz val="12"/>
        <color indexed="8"/>
        <rFont val="Symbol"/>
        <family val="1"/>
        <charset val="2"/>
      </rPr>
      <t>D</t>
    </r>
    <r>
      <rPr>
        <sz val="11"/>
        <color indexed="8"/>
        <rFont val="Arial Narrow"/>
        <family val="2"/>
        <charset val="238"/>
      </rPr>
      <t>F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 xml:space="preserve"> = </t>
    </r>
    <r>
      <rPr>
        <sz val="12"/>
        <color indexed="8"/>
        <rFont val="Symbol"/>
        <family val="1"/>
        <charset val="2"/>
      </rPr>
      <t>Ds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 xml:space="preserve"> * A</t>
    </r>
    <r>
      <rPr>
        <vertAlign val="subscript"/>
        <sz val="11"/>
        <color indexed="8"/>
        <rFont val="Arial Narrow"/>
        <family val="2"/>
        <charset val="238"/>
      </rPr>
      <t>p</t>
    </r>
  </si>
  <si>
    <t>silová podmínka rovnováhy</t>
  </si>
  <si>
    <r>
      <t>N</t>
    </r>
    <r>
      <rPr>
        <vertAlign val="subscript"/>
        <sz val="11"/>
        <color indexed="8"/>
        <rFont val="Arial Narrow"/>
        <family val="2"/>
        <charset val="238"/>
      </rPr>
      <t>tot</t>
    </r>
    <r>
      <rPr>
        <sz val="11"/>
        <color indexed="8"/>
        <rFont val="Arial Narrow"/>
        <family val="2"/>
        <charset val="238"/>
      </rPr>
      <t xml:space="preserve"> = F</t>
    </r>
    <r>
      <rPr>
        <vertAlign val="subscript"/>
        <sz val="11"/>
        <color indexed="8"/>
        <rFont val="Arial Narrow"/>
        <family val="2"/>
        <charset val="238"/>
      </rPr>
      <t>c</t>
    </r>
    <r>
      <rPr>
        <sz val="11"/>
        <color indexed="8"/>
        <rFont val="Arial Narrow"/>
        <family val="2"/>
        <charset val="238"/>
      </rPr>
      <t xml:space="preserve"> + </t>
    </r>
    <r>
      <rPr>
        <sz val="12"/>
        <color indexed="8"/>
        <rFont val="Symbol"/>
        <family val="1"/>
        <charset val="2"/>
      </rPr>
      <t>D</t>
    </r>
    <r>
      <rPr>
        <sz val="11"/>
        <color indexed="8"/>
        <rFont val="Arial Narrow"/>
        <family val="2"/>
        <charset val="238"/>
      </rPr>
      <t>F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h</t>
    </r>
    <r>
      <rPr>
        <sz val="11"/>
        <color indexed="8"/>
        <rFont val="Arial Narrow"/>
        <family val="2"/>
        <charset val="238"/>
      </rPr>
      <t xml:space="preserve"> - </t>
    </r>
    <r>
      <rPr>
        <sz val="12"/>
        <color indexed="8"/>
        <rFont val="Symbol"/>
        <family val="1"/>
        <charset val="2"/>
      </rPr>
      <t>D</t>
    </r>
    <r>
      <rPr>
        <sz val="11"/>
        <color indexed="8"/>
        <rFont val="Arial Narrow"/>
        <family val="2"/>
        <charset val="238"/>
      </rPr>
      <t>F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d</t>
    </r>
  </si>
  <si>
    <r>
      <t>F</t>
    </r>
    <r>
      <rPr>
        <vertAlign val="subscript"/>
        <sz val="11"/>
        <color indexed="8"/>
        <rFont val="Arial Narrow"/>
        <family val="2"/>
        <charset val="238"/>
      </rPr>
      <t>c</t>
    </r>
  </si>
  <si>
    <t>tlačená plocha</t>
  </si>
  <si>
    <r>
      <t>A</t>
    </r>
    <r>
      <rPr>
        <vertAlign val="subscript"/>
        <sz val="11"/>
        <color indexed="8"/>
        <rFont val="Arial Narrow"/>
        <family val="2"/>
        <charset val="238"/>
      </rPr>
      <t>cc</t>
    </r>
  </si>
  <si>
    <t>výpočtová hodnota pevnosti betonu v tlaku</t>
  </si>
  <si>
    <r>
      <t>f</t>
    </r>
    <r>
      <rPr>
        <vertAlign val="subscript"/>
        <sz val="11"/>
        <color indexed="8"/>
        <rFont val="Arial Narrow"/>
        <family val="2"/>
        <charset val="238"/>
      </rPr>
      <t>cd</t>
    </r>
  </si>
  <si>
    <t>h*</t>
  </si>
  <si>
    <t>výška tlačené oblasti za předpokladu obdélníku</t>
  </si>
  <si>
    <r>
      <rPr>
        <sz val="12"/>
        <color indexed="8"/>
        <rFont val="Symbol"/>
        <family val="1"/>
        <charset val="2"/>
      </rPr>
      <t>l</t>
    </r>
    <r>
      <rPr>
        <sz val="11"/>
        <color indexed="8"/>
        <rFont val="Arial Narrow"/>
        <family val="2"/>
        <charset val="238"/>
      </rPr>
      <t>x</t>
    </r>
  </si>
  <si>
    <t>součinitel definující účinnou výšku tlačené oblasti</t>
  </si>
  <si>
    <t>l</t>
  </si>
  <si>
    <t>B</t>
  </si>
  <si>
    <r>
      <rPr>
        <sz val="12"/>
        <color indexed="8"/>
        <rFont val="Symbol"/>
        <family val="1"/>
        <charset val="2"/>
      </rPr>
      <t>l</t>
    </r>
    <r>
      <rPr>
        <sz val="11"/>
        <color indexed="8"/>
        <rFont val="Arial Narrow"/>
        <family val="2"/>
        <charset val="238"/>
      </rPr>
      <t>x = A</t>
    </r>
    <r>
      <rPr>
        <vertAlign val="subscript"/>
        <sz val="11"/>
        <color indexed="8"/>
        <rFont val="Arial Narrow"/>
        <family val="2"/>
        <charset val="238"/>
      </rPr>
      <t>cc</t>
    </r>
    <r>
      <rPr>
        <sz val="11"/>
        <color indexed="8"/>
        <rFont val="Arial Narrow"/>
        <family val="2"/>
        <charset val="238"/>
      </rPr>
      <t xml:space="preserve"> / b</t>
    </r>
  </si>
  <si>
    <t>tlačená oblast zasahující do přírub nosníku</t>
  </si>
  <si>
    <t>tloušťka horní pásnice nosníku</t>
  </si>
  <si>
    <t>šířka horní pásnice nosníku</t>
  </si>
  <si>
    <r>
      <t>A*</t>
    </r>
    <r>
      <rPr>
        <vertAlign val="subscript"/>
        <sz val="11"/>
        <color indexed="8"/>
        <rFont val="Arial Narrow"/>
        <family val="2"/>
        <charset val="238"/>
      </rPr>
      <t>cc</t>
    </r>
  </si>
  <si>
    <t>výška tlačené oblasti</t>
  </si>
  <si>
    <r>
      <t>šířka všech pásnic</t>
    </r>
    <r>
      <rPr>
        <sz val="9"/>
        <color indexed="8"/>
        <rFont val="Arial Narrow"/>
        <family val="2"/>
        <charset val="238"/>
      </rPr>
      <t xml:space="preserve"> (šířka nosníku účinná na smyk)</t>
    </r>
  </si>
  <si>
    <r>
      <t>b</t>
    </r>
    <r>
      <rPr>
        <vertAlign val="subscript"/>
        <sz val="11"/>
        <color indexed="8"/>
        <rFont val="Arial Narrow"/>
        <family val="2"/>
        <charset val="238"/>
      </rPr>
      <t>w</t>
    </r>
  </si>
  <si>
    <t>poloha neutrálné osy</t>
  </si>
  <si>
    <t>x</t>
  </si>
  <si>
    <t>ověření předpokladu protažení výztuže</t>
  </si>
  <si>
    <r>
      <t>d</t>
    </r>
    <r>
      <rPr>
        <vertAlign val="subscript"/>
        <sz val="11"/>
        <color indexed="8"/>
        <rFont val="Arial Narrow"/>
        <family val="2"/>
        <charset val="238"/>
      </rPr>
      <t>3</t>
    </r>
    <r>
      <rPr>
        <vertAlign val="superscript"/>
        <sz val="11"/>
        <color indexed="8"/>
        <rFont val="Arial Narrow"/>
        <family val="2"/>
        <charset val="238"/>
      </rPr>
      <t>h</t>
    </r>
  </si>
  <si>
    <r>
      <t>d</t>
    </r>
    <r>
      <rPr>
        <vertAlign val="subscript"/>
        <sz val="11"/>
        <color indexed="8"/>
        <rFont val="Arial Narrow"/>
        <family val="2"/>
        <charset val="238"/>
      </rPr>
      <t>2</t>
    </r>
    <r>
      <rPr>
        <vertAlign val="superscript"/>
        <sz val="11"/>
        <color indexed="8"/>
        <rFont val="Arial Narrow"/>
        <family val="2"/>
        <charset val="238"/>
      </rPr>
      <t>d</t>
    </r>
  </si>
  <si>
    <t>protažení nejnepříznivěji umístěné tlačené výztuže</t>
  </si>
  <si>
    <t>protažení nejnepříznivěji umístěné tažené výztuže</t>
  </si>
  <si>
    <t>poloha nejnepříznivější tažené  výztuže od horního líce</t>
  </si>
  <si>
    <t>poloha nejnepříznivější tlačené výztuže od horního líce</t>
  </si>
  <si>
    <r>
      <rPr>
        <sz val="12"/>
        <color indexed="8"/>
        <rFont val="Symbol"/>
        <family val="1"/>
        <charset val="2"/>
      </rPr>
      <t>De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h</t>
    </r>
  </si>
  <si>
    <r>
      <rPr>
        <sz val="12"/>
        <color indexed="8"/>
        <rFont val="Symbol"/>
        <family val="1"/>
        <charset val="2"/>
      </rPr>
      <t>De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d</t>
    </r>
  </si>
  <si>
    <r>
      <rPr>
        <sz val="12"/>
        <color indexed="8"/>
        <rFont val="Symbol"/>
        <family val="1"/>
        <charset val="2"/>
      </rPr>
      <t>De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d</t>
    </r>
    <r>
      <rPr>
        <sz val="11"/>
        <color indexed="8"/>
        <rFont val="Arial Narrow"/>
        <family val="2"/>
        <charset val="238"/>
      </rPr>
      <t xml:space="preserve"> = (</t>
    </r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cu</t>
    </r>
    <r>
      <rPr>
        <sz val="11"/>
        <color indexed="8"/>
        <rFont val="Arial Narrow"/>
        <family val="2"/>
        <charset val="238"/>
      </rPr>
      <t xml:space="preserve"> / x) * (d</t>
    </r>
    <r>
      <rPr>
        <vertAlign val="superscript"/>
        <sz val="11"/>
        <color indexed="8"/>
        <rFont val="Arial Narrow"/>
        <family val="2"/>
        <charset val="238"/>
      </rPr>
      <t>d</t>
    </r>
    <r>
      <rPr>
        <sz val="11"/>
        <color indexed="8"/>
        <rFont val="Arial Narrow"/>
        <family val="2"/>
        <charset val="238"/>
      </rPr>
      <t xml:space="preserve"> - x)</t>
    </r>
  </si>
  <si>
    <r>
      <rPr>
        <sz val="12"/>
        <color indexed="8"/>
        <rFont val="Symbol"/>
        <family val="1"/>
        <charset val="2"/>
      </rPr>
      <t>De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h</t>
    </r>
    <r>
      <rPr>
        <sz val="11"/>
        <color indexed="8"/>
        <rFont val="Arial Narrow"/>
        <family val="2"/>
        <charset val="238"/>
      </rPr>
      <t xml:space="preserve"> = (</t>
    </r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cu</t>
    </r>
    <r>
      <rPr>
        <sz val="11"/>
        <color indexed="8"/>
        <rFont val="Arial Narrow"/>
        <family val="2"/>
        <charset val="238"/>
      </rPr>
      <t xml:space="preserve"> / x) * (x - d</t>
    </r>
    <r>
      <rPr>
        <vertAlign val="superscript"/>
        <sz val="11"/>
        <color indexed="8"/>
        <rFont val="Arial Narrow"/>
        <family val="2"/>
        <charset val="238"/>
      </rPr>
      <t>h</t>
    </r>
    <r>
      <rPr>
        <sz val="11"/>
        <color indexed="8"/>
        <rFont val="Arial Narrow"/>
        <family val="2"/>
        <charset val="238"/>
      </rPr>
      <t>)</t>
    </r>
  </si>
  <si>
    <t>limitní přetvoření betonu v tlaku</t>
  </si>
  <si>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cu3</t>
    </r>
  </si>
  <si>
    <r>
      <t>m</t>
    </r>
    <r>
      <rPr>
        <sz val="12"/>
        <color indexed="8"/>
        <rFont val="Arial Narrow"/>
        <family val="2"/>
        <charset val="238"/>
      </rPr>
      <t xml:space="preserve"> = (</t>
    </r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 xml:space="preserve">p,tg </t>
    </r>
    <r>
      <rPr>
        <sz val="11"/>
        <color indexed="8"/>
        <rFont val="Arial Narrow"/>
        <family val="2"/>
        <charset val="238"/>
      </rPr>
      <t>+</t>
    </r>
    <r>
      <rPr>
        <sz val="12"/>
        <color indexed="8"/>
        <rFont val="Symbol"/>
        <family val="1"/>
        <charset val="2"/>
      </rPr>
      <t xml:space="preserve"> SD</t>
    </r>
    <r>
      <rPr>
        <vertAlign val="subscript"/>
        <sz val="11"/>
        <color indexed="8"/>
        <rFont val="Arial Narrow"/>
        <family val="2"/>
        <charset val="238"/>
      </rPr>
      <t>spr</t>
    </r>
    <r>
      <rPr>
        <sz val="11"/>
        <color indexed="8"/>
        <rFont val="Arial Narrow"/>
        <family val="2"/>
        <charset val="238"/>
      </rPr>
      <t xml:space="preserve"> + </t>
    </r>
    <r>
      <rPr>
        <sz val="12"/>
        <color indexed="8"/>
        <rFont val="Symbol"/>
        <family val="1"/>
        <charset val="2"/>
      </rPr>
      <t>Ds</t>
    </r>
    <r>
      <rPr>
        <vertAlign val="subscript"/>
        <sz val="11"/>
        <color indexed="8"/>
        <rFont val="Arial Narrow"/>
        <family val="2"/>
        <charset val="238"/>
      </rPr>
      <t>pegA</t>
    </r>
    <r>
      <rPr>
        <sz val="11"/>
        <color indexed="8"/>
        <rFont val="Arial Narrow"/>
        <family val="2"/>
        <charset val="238"/>
      </rPr>
      <t>) / f</t>
    </r>
    <r>
      <rPr>
        <vertAlign val="subscript"/>
        <sz val="11"/>
        <color indexed="8"/>
        <rFont val="Arial Narrow"/>
        <family val="2"/>
        <charset val="238"/>
      </rPr>
      <t>pk</t>
    </r>
  </si>
  <si>
    <t>(3.29, příloha D)</t>
  </si>
  <si>
    <t>(D2)</t>
  </si>
  <si>
    <r>
      <t xml:space="preserve">3.1. Ztráta dotvarováním (relaxací) předpínací výztuže v intervalu </t>
    </r>
    <r>
      <rPr>
        <b/>
        <sz val="11"/>
        <color indexed="8"/>
        <rFont val="Arial Narrow"/>
        <family val="2"/>
        <charset val="238"/>
      </rPr>
      <t>t</t>
    </r>
    <r>
      <rPr>
        <b/>
        <vertAlign val="subscript"/>
        <sz val="11"/>
        <color indexed="8"/>
        <rFont val="Arial Narrow"/>
        <family val="2"/>
        <charset val="238"/>
      </rPr>
      <t>g+q</t>
    </r>
    <r>
      <rPr>
        <b/>
        <sz val="11"/>
        <color indexed="8"/>
        <rFont val="Arial Narrow"/>
        <family val="2"/>
        <charset val="238"/>
      </rPr>
      <t xml:space="preserve"> - t</t>
    </r>
    <r>
      <rPr>
        <b/>
        <vertAlign val="subscript"/>
        <sz val="11"/>
        <color indexed="8"/>
        <rFont val="Arial"/>
        <family val="2"/>
        <charset val="238"/>
      </rPr>
      <t>∞</t>
    </r>
    <r>
      <rPr>
        <b/>
        <sz val="11"/>
        <color indexed="8"/>
        <rFont val="Arial"/>
        <family val="2"/>
        <charset val="238"/>
      </rPr>
      <t xml:space="preserve"> (dle přílohy D normy [1])</t>
    </r>
  </si>
  <si>
    <r>
      <t xml:space="preserve">3.1. Ztráta dotvarováním (relaxací) předpínací výztuže v intervalu </t>
    </r>
    <r>
      <rPr>
        <b/>
        <sz val="11"/>
        <color indexed="8"/>
        <rFont val="Arial Narrow"/>
        <family val="2"/>
        <charset val="238"/>
      </rPr>
      <t>t</t>
    </r>
    <r>
      <rPr>
        <b/>
        <vertAlign val="subscript"/>
        <sz val="11"/>
        <color indexed="8"/>
        <rFont val="Arial Narrow"/>
        <family val="2"/>
        <charset val="238"/>
      </rPr>
      <t>g+q</t>
    </r>
    <r>
      <rPr>
        <b/>
        <sz val="11"/>
        <color indexed="8"/>
        <rFont val="Arial Narrow"/>
        <family val="2"/>
        <charset val="238"/>
      </rPr>
      <t xml:space="preserve"> - t</t>
    </r>
    <r>
      <rPr>
        <b/>
        <vertAlign val="subscript"/>
        <sz val="11"/>
        <color indexed="8"/>
        <rFont val="Arial"/>
        <family val="2"/>
        <charset val="238"/>
      </rPr>
      <t xml:space="preserve">∞ </t>
    </r>
    <r>
      <rPr>
        <b/>
        <sz val="11"/>
        <color indexed="8"/>
        <rFont val="Arial"/>
        <family val="2"/>
        <charset val="238"/>
      </rPr>
      <t>(dle přílohy D normy [1])</t>
    </r>
  </si>
  <si>
    <t>celkové protažení nejnepříznivěji uložené výztuže</t>
  </si>
  <si>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h</t>
    </r>
  </si>
  <si>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d</t>
    </r>
  </si>
  <si>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d</t>
    </r>
    <r>
      <rPr>
        <sz val="11"/>
        <color indexed="8"/>
        <rFont val="Arial Narrow"/>
        <family val="2"/>
        <charset val="238"/>
      </rPr>
      <t xml:space="preserve"> = </t>
    </r>
    <r>
      <rPr>
        <sz val="12"/>
        <color indexed="8"/>
        <rFont val="Symbol"/>
        <family val="1"/>
        <charset val="2"/>
      </rPr>
      <t>De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d</t>
    </r>
    <r>
      <rPr>
        <sz val="11"/>
        <color indexed="8"/>
        <rFont val="Arial Narrow"/>
        <family val="2"/>
        <charset val="238"/>
      </rPr>
      <t xml:space="preserve"> + </t>
    </r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0</t>
    </r>
  </si>
  <si>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h</t>
    </r>
    <r>
      <rPr>
        <sz val="11"/>
        <color indexed="8"/>
        <rFont val="Arial Narrow"/>
        <family val="2"/>
        <charset val="238"/>
      </rPr>
      <t xml:space="preserve"> = </t>
    </r>
    <r>
      <rPr>
        <sz val="12"/>
        <color indexed="8"/>
        <rFont val="Symbol"/>
        <family val="1"/>
        <charset val="2"/>
      </rPr>
      <t>De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h</t>
    </r>
    <r>
      <rPr>
        <sz val="11"/>
        <color indexed="8"/>
        <rFont val="Arial Narrow"/>
        <family val="2"/>
        <charset val="238"/>
      </rPr>
      <t xml:space="preserve"> + </t>
    </r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0</t>
    </r>
  </si>
  <si>
    <t>těžiště tlačené plochy k hornímu okraji</t>
  </si>
  <si>
    <r>
      <t>t</t>
    </r>
    <r>
      <rPr>
        <vertAlign val="subscript"/>
        <sz val="11"/>
        <color indexed="8"/>
        <rFont val="Arial Narrow"/>
        <family val="2"/>
        <charset val="238"/>
      </rPr>
      <t>cc</t>
    </r>
  </si>
  <si>
    <r>
      <t>rameno síly F</t>
    </r>
    <r>
      <rPr>
        <vertAlign val="subscript"/>
        <sz val="11"/>
        <color indexed="8"/>
        <rFont val="Arial Narrow"/>
        <family val="2"/>
        <charset val="238"/>
      </rPr>
      <t>cc</t>
    </r>
    <r>
      <rPr>
        <sz val="11"/>
        <color indexed="8"/>
        <rFont val="Arial Narrow"/>
        <family val="2"/>
        <charset val="238"/>
      </rPr>
      <t xml:space="preserve"> k těžišti průřezu</t>
    </r>
  </si>
  <si>
    <r>
      <t>z</t>
    </r>
    <r>
      <rPr>
        <vertAlign val="subscript"/>
        <sz val="11"/>
        <color indexed="8"/>
        <rFont val="Arial Narrow"/>
        <family val="2"/>
        <charset val="238"/>
      </rPr>
      <t>cc</t>
    </r>
  </si>
  <si>
    <r>
      <t xml:space="preserve">rameno síly </t>
    </r>
    <r>
      <rPr>
        <sz val="12"/>
        <color indexed="8"/>
        <rFont val="Symbol"/>
        <family val="1"/>
        <charset val="2"/>
      </rPr>
      <t>D</t>
    </r>
    <r>
      <rPr>
        <sz val="11"/>
        <color indexed="8"/>
        <rFont val="Arial Narrow"/>
        <family val="2"/>
        <charset val="238"/>
      </rPr>
      <t>F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h</t>
    </r>
    <r>
      <rPr>
        <sz val="11"/>
        <color indexed="8"/>
        <rFont val="Arial Narrow"/>
        <family val="2"/>
        <charset val="238"/>
      </rPr>
      <t xml:space="preserve"> k těžišti průřezu</t>
    </r>
  </si>
  <si>
    <r>
      <t xml:space="preserve">rameno síly </t>
    </r>
    <r>
      <rPr>
        <sz val="12"/>
        <color indexed="8"/>
        <rFont val="Symbol"/>
        <family val="1"/>
        <charset val="2"/>
      </rPr>
      <t>D</t>
    </r>
    <r>
      <rPr>
        <sz val="11"/>
        <color indexed="8"/>
        <rFont val="Arial Narrow"/>
        <family val="2"/>
        <charset val="238"/>
      </rPr>
      <t>F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vertAlign val="superscript"/>
        <sz val="11"/>
        <color indexed="8"/>
        <rFont val="Arial Narrow"/>
        <family val="2"/>
        <charset val="238"/>
      </rPr>
      <t>d</t>
    </r>
    <r>
      <rPr>
        <sz val="11"/>
        <color indexed="8"/>
        <rFont val="Arial Narrow"/>
        <family val="2"/>
        <charset val="238"/>
      </rPr>
      <t xml:space="preserve"> k těžišti průřezu</t>
    </r>
  </si>
  <si>
    <r>
      <t>z</t>
    </r>
    <r>
      <rPr>
        <vertAlign val="subscript"/>
        <sz val="11"/>
        <color indexed="8"/>
        <rFont val="Arial Narrow"/>
        <family val="2"/>
        <charset val="238"/>
      </rPr>
      <t>ph</t>
    </r>
  </si>
  <si>
    <r>
      <t>z</t>
    </r>
    <r>
      <rPr>
        <vertAlign val="subscript"/>
        <sz val="11"/>
        <color indexed="8"/>
        <rFont val="Arial Narrow"/>
        <family val="2"/>
        <charset val="238"/>
      </rPr>
      <t>pd</t>
    </r>
  </si>
  <si>
    <t>těžiště betonového průřezu od spodních vláken</t>
  </si>
  <si>
    <t>těžiště dolní předpínací výztuže k dolnímu okraji</t>
  </si>
  <si>
    <t>těžiště horní předpínací výztuže k dolnímu okraji</t>
  </si>
  <si>
    <r>
      <t>t</t>
    </r>
    <r>
      <rPr>
        <vertAlign val="subscript"/>
        <sz val="11"/>
        <color indexed="8"/>
        <rFont val="Arial Narrow"/>
        <family val="2"/>
        <charset val="238"/>
      </rPr>
      <t>ph</t>
    </r>
  </si>
  <si>
    <r>
      <t>t</t>
    </r>
    <r>
      <rPr>
        <vertAlign val="subscript"/>
        <sz val="11"/>
        <color indexed="8"/>
        <rFont val="Arial Narrow"/>
        <family val="2"/>
        <charset val="238"/>
      </rPr>
      <t>pd</t>
    </r>
  </si>
  <si>
    <t>moment na mezi únosnosti</t>
  </si>
  <si>
    <r>
      <t>N</t>
    </r>
    <r>
      <rPr>
        <b/>
        <vertAlign val="subscript"/>
        <sz val="11"/>
        <color indexed="8"/>
        <rFont val="Arial Narrow"/>
        <family val="2"/>
        <charset val="238"/>
      </rPr>
      <t>tot</t>
    </r>
  </si>
  <si>
    <r>
      <t>M</t>
    </r>
    <r>
      <rPr>
        <b/>
        <vertAlign val="subscript"/>
        <sz val="11"/>
        <color indexed="8"/>
        <rFont val="Arial Narrow"/>
        <family val="2"/>
        <charset val="238"/>
      </rPr>
      <t>tot</t>
    </r>
  </si>
  <si>
    <r>
      <t>vnitřní síly působící na průřez</t>
    </r>
    <r>
      <rPr>
        <sz val="11"/>
        <color indexed="8"/>
        <rFont val="Arial Narrow"/>
        <family val="2"/>
        <charset val="238"/>
      </rPr>
      <t xml:space="preserve"> (zatížení + předpětí)</t>
    </r>
  </si>
  <si>
    <r>
      <t>M</t>
    </r>
    <r>
      <rPr>
        <b/>
        <vertAlign val="subscript"/>
        <sz val="11"/>
        <color indexed="8"/>
        <rFont val="Arial Narrow"/>
        <family val="2"/>
        <charset val="238"/>
      </rPr>
      <t>Rd</t>
    </r>
  </si>
  <si>
    <r>
      <t>M</t>
    </r>
    <r>
      <rPr>
        <b/>
        <vertAlign val="subscript"/>
        <sz val="11"/>
        <color indexed="8"/>
        <rFont val="Arial Narrow"/>
        <family val="2"/>
        <charset val="238"/>
      </rPr>
      <t xml:space="preserve">tot      </t>
    </r>
    <r>
      <rPr>
        <b/>
        <sz val="11"/>
        <color indexed="8"/>
        <rFont val="Arial Narrow"/>
        <family val="2"/>
        <charset val="238"/>
      </rPr>
      <t xml:space="preserve">    =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</si>
  <si>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k,sup,t</t>
    </r>
    <r>
      <rPr>
        <vertAlign val="subscript"/>
        <sz val="11"/>
        <color indexed="8"/>
        <rFont val="Arial"/>
        <family val="2"/>
        <charset val="238"/>
      </rPr>
      <t>∞</t>
    </r>
    <r>
      <rPr>
        <vertAlign val="subscript"/>
        <sz val="11"/>
        <color indexed="8"/>
        <rFont val="Arial Narrow"/>
        <family val="2"/>
        <charset val="238"/>
      </rPr>
      <t>r</t>
    </r>
    <r>
      <rPr>
        <sz val="9"/>
        <color indexed="8"/>
        <rFont val="Arial Narrow"/>
        <family val="2"/>
        <charset val="238"/>
      </rPr>
      <t>(L/2)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</si>
  <si>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k,inf,t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>)</t>
    </r>
  </si>
  <si>
    <r>
      <t>průřez u podpory v čase t</t>
    </r>
    <r>
      <rPr>
        <b/>
        <vertAlign val="subscript"/>
        <sz val="11"/>
        <color indexed="8"/>
        <rFont val="Arial"/>
        <family val="2"/>
        <charset val="238"/>
      </rPr>
      <t>∞</t>
    </r>
  </si>
  <si>
    <r>
      <t xml:space="preserve">návrhová posouvající síla od svislého zatížení </t>
    </r>
    <r>
      <rPr>
        <sz val="9"/>
        <color indexed="8"/>
        <rFont val="Arial Narrow"/>
        <family val="2"/>
        <charset val="238"/>
      </rPr>
      <t>(dle ČSN EN 1990)</t>
    </r>
  </si>
  <si>
    <r>
      <rPr>
        <sz val="11"/>
        <color indexed="8"/>
        <rFont val="Arial Narrow"/>
        <family val="2"/>
        <charset val="238"/>
      </rPr>
      <t>l</t>
    </r>
    <r>
      <rPr>
        <vertAlign val="subscript"/>
        <sz val="11"/>
        <color indexed="8"/>
        <rFont val="Arial Narrow"/>
        <family val="2"/>
        <charset val="238"/>
      </rPr>
      <t>pt2</t>
    </r>
  </si>
  <si>
    <t>délka ukotvení výztuže za teoretickou podporou</t>
  </si>
  <si>
    <r>
      <t>l</t>
    </r>
    <r>
      <rPr>
        <vertAlign val="subscript"/>
        <sz val="11"/>
        <color indexed="8"/>
        <rFont val="Arial Narrow"/>
        <family val="2"/>
        <charset val="238"/>
      </rPr>
      <t>kot,sm</t>
    </r>
  </si>
  <si>
    <t>(v teoretické podpoře)</t>
  </si>
  <si>
    <t>vzdálenost plného předpětí od líce prvku</t>
  </si>
  <si>
    <t>velikost předpínací síly působící v průřezu u podpory</t>
  </si>
  <si>
    <t>geometrie uložení prvku a průřezové charakteristiky</t>
  </si>
  <si>
    <t>moment setrvačnosti betonového průřezu</t>
  </si>
  <si>
    <t>poloha těžišťové osy bet. průřezu od dolních vláken</t>
  </si>
  <si>
    <t>tloušťka dolní pásnice nosníku</t>
  </si>
  <si>
    <r>
      <t>h*</t>
    </r>
    <r>
      <rPr>
        <vertAlign val="subscript"/>
        <sz val="11"/>
        <color indexed="8"/>
        <rFont val="Arial Narrow"/>
        <family val="2"/>
        <charset val="238"/>
      </rPr>
      <t>h</t>
    </r>
  </si>
  <si>
    <r>
      <rPr>
        <sz val="12"/>
        <color indexed="8"/>
        <rFont val="Symbol"/>
        <family val="1"/>
        <charset val="2"/>
      </rPr>
      <t>l</t>
    </r>
    <r>
      <rPr>
        <sz val="11"/>
        <color indexed="8"/>
        <rFont val="Arial Narrow"/>
        <family val="2"/>
        <charset val="238"/>
      </rPr>
      <t>x = h*</t>
    </r>
    <r>
      <rPr>
        <vertAlign val="subscript"/>
        <sz val="11"/>
        <color indexed="8"/>
        <rFont val="Arial Narrow"/>
        <family val="2"/>
        <charset val="238"/>
      </rPr>
      <t>h</t>
    </r>
    <r>
      <rPr>
        <sz val="11"/>
        <color indexed="8"/>
        <rFont val="Arial Narrow"/>
        <family val="2"/>
        <charset val="238"/>
      </rPr>
      <t xml:space="preserve"> + A</t>
    </r>
    <r>
      <rPr>
        <vertAlign val="subscript"/>
        <sz val="11"/>
        <color indexed="8"/>
        <rFont val="Arial Narrow"/>
        <family val="2"/>
        <charset val="238"/>
      </rPr>
      <t>cc</t>
    </r>
    <r>
      <rPr>
        <sz val="11"/>
        <color indexed="8"/>
        <rFont val="Arial Narrow"/>
        <family val="2"/>
        <charset val="238"/>
      </rPr>
      <t>* /b</t>
    </r>
    <r>
      <rPr>
        <vertAlign val="subscript"/>
        <sz val="11"/>
        <color indexed="8"/>
        <rFont val="Arial Narrow"/>
        <family val="2"/>
        <charset val="238"/>
      </rPr>
      <t>w</t>
    </r>
  </si>
  <si>
    <r>
      <t>h*</t>
    </r>
    <r>
      <rPr>
        <vertAlign val="subscript"/>
        <sz val="11"/>
        <color indexed="8"/>
        <rFont val="Arial Narrow"/>
        <family val="2"/>
        <charset val="238"/>
      </rPr>
      <t>d</t>
    </r>
  </si>
  <si>
    <t>geometrie průřezu</t>
  </si>
  <si>
    <t>výška nosníku</t>
  </si>
  <si>
    <t>plocha betonového průřezu nad těžištěm</t>
  </si>
  <si>
    <r>
      <t>A</t>
    </r>
    <r>
      <rPr>
        <vertAlign val="subscript"/>
        <sz val="11"/>
        <color indexed="8"/>
        <rFont val="Arial Narrow"/>
        <family val="2"/>
        <charset val="238"/>
      </rPr>
      <t>c</t>
    </r>
    <r>
      <rPr>
        <vertAlign val="superscript"/>
        <sz val="11"/>
        <color indexed="8"/>
        <rFont val="Arial Narrow"/>
        <family val="2"/>
        <charset val="238"/>
      </rPr>
      <t>h</t>
    </r>
  </si>
  <si>
    <t>vzdálenost těžiště plochy průřezu nad těžištěm od těžišťové osy</t>
  </si>
  <si>
    <r>
      <t>t</t>
    </r>
    <r>
      <rPr>
        <vertAlign val="subscript"/>
        <sz val="11"/>
        <color indexed="8"/>
        <rFont val="Arial Narrow"/>
        <family val="2"/>
        <charset val="238"/>
      </rPr>
      <t>y,ch</t>
    </r>
  </si>
  <si>
    <t>statický moment plochy na těžištěm k těžišťové ose</t>
  </si>
  <si>
    <r>
      <t>S</t>
    </r>
    <r>
      <rPr>
        <vertAlign val="subscript"/>
        <sz val="11"/>
        <color indexed="8"/>
        <rFont val="Arial Narrow"/>
        <family val="2"/>
        <charset val="238"/>
      </rPr>
      <t>c,h</t>
    </r>
  </si>
  <si>
    <t>vzdálenost uvažovaného průřezu od líce prvku</t>
  </si>
  <si>
    <t>pozn.: řez uvažován ve vzdálenosti vytyčené průsečíkem těžištní osy a přímkou vedenou pod úhlem 45° od líce uložení (dle 6.2.2 čl (3))</t>
  </si>
  <si>
    <t>POSOUZENÍ PRVKU NA SMYK - MSÚ dle 6.2.2 - čl. (2)</t>
  </si>
  <si>
    <r>
      <t>l</t>
    </r>
    <r>
      <rPr>
        <vertAlign val="subscript"/>
        <sz val="11"/>
        <color indexed="8"/>
        <rFont val="Arial Narrow"/>
        <family val="2"/>
        <charset val="238"/>
      </rPr>
      <t>x</t>
    </r>
  </si>
  <si>
    <t>výpočet únosnosti průřezu ve smyku dle článku 6.6.6 normy [1]</t>
  </si>
  <si>
    <r>
      <t>součinitel vyjadřující vliv velikosti napětí v řezu l</t>
    </r>
    <r>
      <rPr>
        <vertAlign val="subscript"/>
        <sz val="10"/>
        <color indexed="8"/>
        <rFont val="Arial Narrow"/>
        <family val="2"/>
        <charset val="238"/>
      </rPr>
      <t>x</t>
    </r>
    <r>
      <rPr>
        <sz val="10"/>
        <color indexed="8"/>
        <rFont val="Arial Narrow"/>
        <family val="2"/>
        <charset val="238"/>
      </rPr>
      <t xml:space="preserve"> od líce prvku</t>
    </r>
  </si>
  <si>
    <r>
      <rPr>
        <sz val="12"/>
        <color indexed="8"/>
        <rFont val="Symbol"/>
        <family val="1"/>
        <charset val="2"/>
      </rPr>
      <t>a</t>
    </r>
    <r>
      <rPr>
        <vertAlign val="subscript"/>
        <sz val="11"/>
        <color indexed="8"/>
        <rFont val="Arial Narrow"/>
        <family val="2"/>
        <charset val="238"/>
      </rPr>
      <t>l</t>
    </r>
  </si>
  <si>
    <r>
      <rPr>
        <sz val="12"/>
        <color indexed="8"/>
        <rFont val="Symbol"/>
        <family val="1"/>
        <charset val="2"/>
      </rPr>
      <t>a</t>
    </r>
    <r>
      <rPr>
        <vertAlign val="subscript"/>
        <sz val="11"/>
        <color indexed="8"/>
        <rFont val="Arial Narrow"/>
        <family val="2"/>
        <charset val="238"/>
      </rPr>
      <t>l</t>
    </r>
    <r>
      <rPr>
        <sz val="11"/>
        <color indexed="8"/>
        <rFont val="Arial Narrow"/>
        <family val="2"/>
        <charset val="238"/>
      </rPr>
      <t xml:space="preserve"> = l</t>
    </r>
    <r>
      <rPr>
        <vertAlign val="subscript"/>
        <sz val="11"/>
        <color indexed="8"/>
        <rFont val="Arial Narrow"/>
        <family val="2"/>
        <charset val="238"/>
      </rPr>
      <t>x</t>
    </r>
    <r>
      <rPr>
        <sz val="11"/>
        <color indexed="8"/>
        <rFont val="Arial Narrow"/>
        <family val="2"/>
        <charset val="238"/>
      </rPr>
      <t xml:space="preserve"> / l</t>
    </r>
    <r>
      <rPr>
        <vertAlign val="subscript"/>
        <sz val="11"/>
        <color indexed="8"/>
        <rFont val="Arial Narrow"/>
        <family val="2"/>
        <charset val="238"/>
      </rPr>
      <t>pt2</t>
    </r>
  </si>
  <si>
    <r>
      <t>s</t>
    </r>
    <r>
      <rPr>
        <vertAlign val="subscript"/>
        <sz val="11"/>
        <color indexed="8"/>
        <rFont val="Arial Narrow"/>
        <family val="2"/>
        <charset val="238"/>
      </rPr>
      <t>cp</t>
    </r>
  </si>
  <si>
    <r>
      <t>napětí v betonu od předpětí ve vzdálenosti l</t>
    </r>
    <r>
      <rPr>
        <vertAlign val="subscript"/>
        <sz val="11"/>
        <color indexed="8"/>
        <rFont val="Arial Narrow"/>
        <family val="2"/>
        <charset val="238"/>
      </rPr>
      <t>pt2</t>
    </r>
  </si>
  <si>
    <r>
      <t>s</t>
    </r>
    <r>
      <rPr>
        <vertAlign val="subscript"/>
        <sz val="11"/>
        <color indexed="8"/>
        <rFont val="Arial Narrow"/>
        <family val="2"/>
        <charset val="238"/>
      </rPr>
      <t>cp</t>
    </r>
    <r>
      <rPr>
        <sz val="11"/>
        <color indexed="8"/>
        <rFont val="Arial Narrow"/>
        <family val="2"/>
        <charset val="238"/>
      </rPr>
      <t xml:space="preserve"> = N</t>
    </r>
    <r>
      <rPr>
        <vertAlign val="subscript"/>
        <sz val="11"/>
        <color indexed="8"/>
        <rFont val="Cambria"/>
        <family val="1"/>
        <charset val="238"/>
      </rPr>
      <t>pd,t∞</t>
    </r>
    <r>
      <rPr>
        <sz val="11"/>
        <color indexed="8"/>
        <rFont val="Arial"/>
        <family val="2"/>
        <charset val="238"/>
      </rPr>
      <t xml:space="preserve"> / A</t>
    </r>
    <r>
      <rPr>
        <vertAlign val="subscript"/>
        <sz val="11"/>
        <color indexed="8"/>
        <rFont val="Arial"/>
        <family val="2"/>
        <charset val="238"/>
      </rPr>
      <t>c</t>
    </r>
  </si>
  <si>
    <t>návrhová hodnota únosnosti betonu v tahu</t>
  </si>
  <si>
    <t>návrhová únosnost ve smyku</t>
  </si>
  <si>
    <r>
      <t>V</t>
    </r>
    <r>
      <rPr>
        <vertAlign val="subscript"/>
        <sz val="11"/>
        <color indexed="8"/>
        <rFont val="Arial Narrow"/>
        <family val="2"/>
        <charset val="238"/>
      </rPr>
      <t>rd,c</t>
    </r>
  </si>
  <si>
    <t>(6.4)</t>
  </si>
  <si>
    <t>posouvající síla na mezi únosnosti</t>
  </si>
  <si>
    <r>
      <t>V</t>
    </r>
    <r>
      <rPr>
        <b/>
        <vertAlign val="subscript"/>
        <sz val="11"/>
        <color indexed="8"/>
        <rFont val="Arial Narrow"/>
        <family val="2"/>
        <charset val="238"/>
      </rPr>
      <t>rd,c</t>
    </r>
  </si>
  <si>
    <r>
      <t>V</t>
    </r>
    <r>
      <rPr>
        <vertAlign val="subscript"/>
        <sz val="11"/>
        <color indexed="8"/>
        <rFont val="Arial Narrow"/>
        <family val="2"/>
        <charset val="238"/>
      </rPr>
      <t>E</t>
    </r>
    <r>
      <rPr>
        <vertAlign val="subscript"/>
        <sz val="11"/>
        <color indexed="8"/>
        <rFont val="Arial Narrow"/>
        <family val="2"/>
        <charset val="238"/>
      </rPr>
      <t xml:space="preserve">,d </t>
    </r>
  </si>
  <si>
    <r>
      <t>V</t>
    </r>
    <r>
      <rPr>
        <vertAlign val="subscript"/>
        <sz val="11"/>
        <color indexed="8"/>
        <rFont val="Arial Narrow"/>
        <family val="2"/>
        <charset val="238"/>
      </rPr>
      <t xml:space="preserve">Ed </t>
    </r>
    <r>
      <rPr>
        <sz val="11"/>
        <color indexed="8"/>
        <rFont val="Arial Narrow"/>
        <family val="2"/>
        <charset val="238"/>
      </rPr>
      <t xml:space="preserve"> = 1,35*V</t>
    </r>
    <r>
      <rPr>
        <vertAlign val="subscript"/>
        <sz val="11"/>
        <color indexed="8"/>
        <rFont val="Arial Narrow"/>
        <family val="2"/>
        <charset val="238"/>
      </rPr>
      <t>E,0k</t>
    </r>
    <r>
      <rPr>
        <sz val="11"/>
        <color indexed="8"/>
        <rFont val="Arial Narrow"/>
        <family val="2"/>
        <charset val="238"/>
      </rPr>
      <t xml:space="preserve"> + 1,35*V</t>
    </r>
    <r>
      <rPr>
        <vertAlign val="subscript"/>
        <sz val="11"/>
        <color indexed="8"/>
        <rFont val="Arial Narrow"/>
        <family val="2"/>
        <charset val="238"/>
      </rPr>
      <t>E,gk</t>
    </r>
    <r>
      <rPr>
        <sz val="11"/>
        <color indexed="8"/>
        <rFont val="Arial Narrow"/>
        <family val="2"/>
        <charset val="238"/>
      </rPr>
      <t xml:space="preserve"> + </t>
    </r>
    <r>
      <rPr>
        <sz val="12"/>
        <color indexed="8"/>
        <rFont val="Symbol"/>
        <family val="1"/>
        <charset val="2"/>
      </rPr>
      <t>y</t>
    </r>
    <r>
      <rPr>
        <vertAlign val="subscript"/>
        <sz val="11"/>
        <color indexed="8"/>
        <rFont val="Arial Narrow"/>
        <family val="2"/>
        <charset val="238"/>
      </rPr>
      <t>0</t>
    </r>
    <r>
      <rPr>
        <sz val="11"/>
        <color indexed="8"/>
        <rFont val="Arial Narrow"/>
        <family val="2"/>
        <charset val="238"/>
      </rPr>
      <t>*1,5*V</t>
    </r>
    <r>
      <rPr>
        <vertAlign val="subscript"/>
        <sz val="11"/>
        <color indexed="8"/>
        <rFont val="Arial Narrow"/>
        <family val="2"/>
        <charset val="238"/>
      </rPr>
      <t>E,qk</t>
    </r>
  </si>
  <si>
    <r>
      <t>V</t>
    </r>
    <r>
      <rPr>
        <b/>
        <vertAlign val="subscript"/>
        <sz val="11"/>
        <color indexed="8"/>
        <rFont val="Arial Narrow"/>
        <family val="2"/>
        <charset val="238"/>
      </rPr>
      <t xml:space="preserve">Ed      </t>
    </r>
    <r>
      <rPr>
        <b/>
        <sz val="11"/>
        <color indexed="8"/>
        <rFont val="Arial Narrow"/>
        <family val="2"/>
        <charset val="238"/>
      </rPr>
      <t xml:space="preserve">    =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</si>
  <si>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k,sup,tg+q</t>
    </r>
    <r>
      <rPr>
        <sz val="9"/>
        <color indexed="8"/>
        <rFont val="Arial Narrow"/>
        <family val="2"/>
        <charset val="238"/>
      </rPr>
      <t>(L/2)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</si>
  <si>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k,inf,tg+q</t>
    </r>
    <r>
      <rPr>
        <sz val="9"/>
        <color indexed="8"/>
        <rFont val="Arial Narrow"/>
        <family val="2"/>
        <charset val="238"/>
      </rPr>
      <t>(L/2)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</si>
  <si>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k,sup,tg+q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>)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</si>
  <si>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k,inf,tg+q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>)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</si>
  <si>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k,sup,tg+q</t>
    </r>
    <r>
      <rPr>
        <sz val="9"/>
        <color indexed="8"/>
        <rFont val="Arial Narrow"/>
        <family val="2"/>
        <charset val="238"/>
      </rPr>
      <t xml:space="preserve">(L/2) </t>
    </r>
    <r>
      <rPr>
        <sz val="11"/>
        <color indexed="8"/>
        <rFont val="Arial Narrow"/>
        <family val="2"/>
        <charset val="238"/>
      </rPr>
      <t>= r</t>
    </r>
    <r>
      <rPr>
        <vertAlign val="subscript"/>
        <sz val="11"/>
        <color indexed="8"/>
        <rFont val="Arial Narrow"/>
        <family val="2"/>
        <charset val="238"/>
      </rPr>
      <t>sup</t>
    </r>
    <r>
      <rPr>
        <sz val="11"/>
        <color indexed="8"/>
        <rFont val="Arial Narrow"/>
        <family val="2"/>
        <charset val="238"/>
      </rPr>
      <t xml:space="preserve">  * N</t>
    </r>
    <r>
      <rPr>
        <vertAlign val="subscript"/>
        <sz val="11"/>
        <color indexed="8"/>
        <rFont val="Arial Narrow"/>
        <family val="2"/>
        <charset val="238"/>
      </rPr>
      <t>p,tg+q</t>
    </r>
    <r>
      <rPr>
        <sz val="9"/>
        <color indexed="8"/>
        <rFont val="Arial Narrow"/>
        <family val="2"/>
        <charset val="238"/>
      </rPr>
      <t>(L/2)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</si>
  <si>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k,inf,tg+q</t>
    </r>
    <r>
      <rPr>
        <sz val="9"/>
        <color indexed="8"/>
        <rFont val="Arial Narrow"/>
        <family val="2"/>
        <charset val="238"/>
      </rPr>
      <t xml:space="preserve">(L/2) </t>
    </r>
    <r>
      <rPr>
        <sz val="11"/>
        <color indexed="8"/>
        <rFont val="Arial Narrow"/>
        <family val="2"/>
        <charset val="238"/>
      </rPr>
      <t>= r</t>
    </r>
    <r>
      <rPr>
        <vertAlign val="subscript"/>
        <sz val="11"/>
        <color indexed="8"/>
        <rFont val="Arial Narrow"/>
        <family val="2"/>
        <charset val="238"/>
      </rPr>
      <t>inf</t>
    </r>
    <r>
      <rPr>
        <sz val="11"/>
        <color indexed="8"/>
        <rFont val="Arial Narrow"/>
        <family val="2"/>
        <charset val="238"/>
      </rPr>
      <t xml:space="preserve">  * N</t>
    </r>
    <r>
      <rPr>
        <vertAlign val="subscript"/>
        <sz val="11"/>
        <color indexed="8"/>
        <rFont val="Arial Narrow"/>
        <family val="2"/>
        <charset val="238"/>
      </rPr>
      <t>p,tg+q</t>
    </r>
    <r>
      <rPr>
        <sz val="9"/>
        <color indexed="8"/>
        <rFont val="Arial Narrow"/>
        <family val="2"/>
        <charset val="238"/>
      </rPr>
      <t>(L/2)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</si>
  <si>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k,sup,tg+q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 xml:space="preserve">) </t>
    </r>
    <r>
      <rPr>
        <sz val="11"/>
        <color indexed="8"/>
        <rFont val="Arial Narrow"/>
        <family val="2"/>
        <charset val="238"/>
      </rPr>
      <t>= r</t>
    </r>
    <r>
      <rPr>
        <vertAlign val="subscript"/>
        <sz val="11"/>
        <color indexed="8"/>
        <rFont val="Arial Narrow"/>
        <family val="2"/>
        <charset val="238"/>
      </rPr>
      <t>sup</t>
    </r>
    <r>
      <rPr>
        <sz val="11"/>
        <color indexed="8"/>
        <rFont val="Arial Narrow"/>
        <family val="2"/>
        <charset val="238"/>
      </rPr>
      <t xml:space="preserve">  * N</t>
    </r>
    <r>
      <rPr>
        <vertAlign val="subscript"/>
        <sz val="11"/>
        <color indexed="8"/>
        <rFont val="Arial Narrow"/>
        <family val="2"/>
        <charset val="238"/>
      </rPr>
      <t>p,tg+q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>)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</si>
  <si>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k,inf,tg+q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 xml:space="preserve">) </t>
    </r>
    <r>
      <rPr>
        <sz val="11"/>
        <color indexed="8"/>
        <rFont val="Arial Narrow"/>
        <family val="2"/>
        <charset val="238"/>
      </rPr>
      <t>= r</t>
    </r>
    <r>
      <rPr>
        <vertAlign val="subscript"/>
        <sz val="11"/>
        <color indexed="8"/>
        <rFont val="Arial Narrow"/>
        <family val="2"/>
        <charset val="238"/>
      </rPr>
      <t>inf</t>
    </r>
    <r>
      <rPr>
        <sz val="11"/>
        <color indexed="8"/>
        <rFont val="Arial Narrow"/>
        <family val="2"/>
        <charset val="238"/>
      </rPr>
      <t xml:space="preserve">  * N</t>
    </r>
    <r>
      <rPr>
        <vertAlign val="subscript"/>
        <sz val="11"/>
        <color indexed="8"/>
        <rFont val="Arial Narrow"/>
        <family val="2"/>
        <charset val="238"/>
      </rPr>
      <t>p,tg+q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>)</t>
    </r>
  </si>
  <si>
    <r>
      <t>f</t>
    </r>
    <r>
      <rPr>
        <vertAlign val="subscript"/>
        <sz val="11"/>
        <color indexed="8"/>
        <rFont val="Arial Narrow"/>
        <family val="2"/>
        <charset val="238"/>
      </rPr>
      <t>ctm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tg+q</t>
    </r>
    <r>
      <rPr>
        <sz val="11"/>
        <color indexed="8"/>
        <rFont val="Arial Narrow"/>
        <family val="2"/>
        <charset val="238"/>
      </rPr>
      <t>)</t>
    </r>
  </si>
  <si>
    <r>
      <t>f</t>
    </r>
    <r>
      <rPr>
        <vertAlign val="subscript"/>
        <sz val="11"/>
        <color indexed="8"/>
        <rFont val="Arial Narrow"/>
        <family val="2"/>
        <charset val="238"/>
      </rPr>
      <t>ck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tg+q</t>
    </r>
    <r>
      <rPr>
        <sz val="11"/>
        <color indexed="8"/>
        <rFont val="Arial Narrow"/>
        <family val="2"/>
        <charset val="238"/>
      </rPr>
      <t>)</t>
    </r>
  </si>
  <si>
    <r>
      <t>M</t>
    </r>
    <r>
      <rPr>
        <vertAlign val="subscript"/>
        <sz val="11"/>
        <color indexed="8"/>
        <rFont val="Arial Narrow"/>
        <family val="2"/>
        <charset val="238"/>
      </rPr>
      <t>p,tg+q</t>
    </r>
    <r>
      <rPr>
        <sz val="9"/>
        <color indexed="8"/>
        <rFont val="Arial Narrow"/>
        <family val="2"/>
        <charset val="238"/>
      </rPr>
      <t>(L/2)</t>
    </r>
  </si>
  <si>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h,tg+q</t>
    </r>
  </si>
  <si>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d,tg+q</t>
    </r>
  </si>
  <si>
    <r>
      <t>průřez uprostřed rozpětí v čase t</t>
    </r>
    <r>
      <rPr>
        <b/>
        <vertAlign val="subscript"/>
        <sz val="11"/>
        <color indexed="8"/>
        <rFont val="Arial Narrow"/>
        <family val="2"/>
        <charset val="238"/>
      </rPr>
      <t>tg+q</t>
    </r>
  </si>
  <si>
    <r>
      <t>mezní napětí v tahu v čase t</t>
    </r>
    <r>
      <rPr>
        <vertAlign val="subscript"/>
        <sz val="11"/>
        <color indexed="8"/>
        <rFont val="Arial Narrow"/>
        <family val="2"/>
        <charset val="238"/>
      </rPr>
      <t>tg+q</t>
    </r>
  </si>
  <si>
    <r>
      <t>mezní napětí v tlaku v čase t</t>
    </r>
    <r>
      <rPr>
        <vertAlign val="subscript"/>
        <sz val="11"/>
        <color indexed="8"/>
        <rFont val="Arial Narrow"/>
        <family val="2"/>
        <charset val="238"/>
      </rPr>
      <t>tg+q</t>
    </r>
  </si>
  <si>
    <r>
      <t>M</t>
    </r>
    <r>
      <rPr>
        <vertAlign val="subscript"/>
        <sz val="11"/>
        <color indexed="8"/>
        <rFont val="Arial Narrow"/>
        <family val="2"/>
        <charset val="238"/>
      </rPr>
      <t>p,tg+q</t>
    </r>
    <r>
      <rPr>
        <sz val="11"/>
        <color indexed="8"/>
        <rFont val="Arial Narrow"/>
        <family val="2"/>
        <charset val="238"/>
      </rPr>
      <t>(l</t>
    </r>
    <r>
      <rPr>
        <vertAlign val="subscript"/>
        <sz val="11"/>
        <color indexed="8"/>
        <rFont val="Arial Narrow"/>
        <family val="2"/>
        <charset val="238"/>
      </rPr>
      <t>pt1</t>
    </r>
    <r>
      <rPr>
        <sz val="11"/>
        <color indexed="8"/>
        <rFont val="Arial Narrow"/>
        <family val="2"/>
        <charset val="238"/>
      </rPr>
      <t>)</t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</si>
  <si>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 xml:space="preserve">h,tg+q </t>
    </r>
    <r>
      <rPr>
        <sz val="11"/>
        <color indexed="8"/>
        <rFont val="Arial Narrow"/>
        <family val="2"/>
        <charset val="238"/>
      </rPr>
      <t>&lt; f</t>
    </r>
    <r>
      <rPr>
        <vertAlign val="subscript"/>
        <sz val="11"/>
        <color indexed="8"/>
        <rFont val="Arial Narrow"/>
        <family val="2"/>
        <charset val="238"/>
      </rPr>
      <t>ctm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tg+q</t>
    </r>
    <r>
      <rPr>
        <sz val="11"/>
        <color indexed="8"/>
        <rFont val="Arial Narrow"/>
        <family val="2"/>
        <charset val="238"/>
      </rPr>
      <t>)</t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</si>
  <si>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 xml:space="preserve">d,tg+q </t>
    </r>
    <r>
      <rPr>
        <sz val="11"/>
        <color indexed="8"/>
        <rFont val="Arial Narrow"/>
        <family val="2"/>
        <charset val="238"/>
      </rPr>
      <t>&lt; 0,6  *f</t>
    </r>
    <r>
      <rPr>
        <vertAlign val="subscript"/>
        <sz val="11"/>
        <color indexed="8"/>
        <rFont val="Arial Narrow"/>
        <family val="2"/>
        <charset val="238"/>
      </rPr>
      <t>ck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tg+q</t>
    </r>
    <r>
      <rPr>
        <sz val="11"/>
        <color indexed="8"/>
        <rFont val="Arial Narrow"/>
        <family val="2"/>
        <charset val="238"/>
      </rPr>
      <t>)</t>
    </r>
  </si>
  <si>
    <r>
      <rPr>
        <sz val="11"/>
        <color indexed="8"/>
        <rFont val="Symbol"/>
        <family val="1"/>
        <charset val="2"/>
      </rPr>
      <t>D</t>
    </r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p,32</t>
    </r>
    <r>
      <rPr>
        <sz val="11"/>
        <color indexed="8"/>
        <rFont val="Arial Narrow"/>
        <family val="2"/>
        <charset val="238"/>
      </rPr>
      <t xml:space="preserve"> = (- E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 xml:space="preserve"> * </t>
    </r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cs</t>
    </r>
    <r>
      <rPr>
        <sz val="11"/>
        <color indexed="8"/>
        <rFont val="Arial Narrow"/>
        <family val="2"/>
        <charset val="238"/>
      </rPr>
      <t xml:space="preserve">) - </t>
    </r>
    <r>
      <rPr>
        <sz val="12"/>
        <color indexed="8"/>
        <rFont val="Symbol"/>
        <family val="1"/>
        <charset val="2"/>
      </rPr>
      <t>Ds</t>
    </r>
    <r>
      <rPr>
        <vertAlign val="subscript"/>
        <sz val="11"/>
        <color indexed="8"/>
        <rFont val="Arial Narrow"/>
        <family val="2"/>
        <charset val="238"/>
      </rPr>
      <t>p,22</t>
    </r>
  </si>
  <si>
    <t>kN/bm</t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</si>
  <si>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h,t</t>
    </r>
    <r>
      <rPr>
        <vertAlign val="subscript"/>
        <sz val="11"/>
        <color indexed="8"/>
        <rFont val="Arial"/>
        <family val="2"/>
        <charset val="238"/>
      </rPr>
      <t>g+q</t>
    </r>
    <r>
      <rPr>
        <vertAlign val="subscript"/>
        <sz val="11"/>
        <color indexed="8"/>
        <rFont val="Arial Narrow"/>
        <family val="2"/>
        <charset val="238"/>
      </rPr>
      <t xml:space="preserve"> </t>
    </r>
    <r>
      <rPr>
        <sz val="11"/>
        <color indexed="8"/>
        <rFont val="Arial Narrow"/>
        <family val="2"/>
        <charset val="238"/>
      </rPr>
      <t>&lt; 0,45  *f</t>
    </r>
    <r>
      <rPr>
        <vertAlign val="subscript"/>
        <sz val="11"/>
        <color indexed="8"/>
        <rFont val="Arial Narrow"/>
        <family val="2"/>
        <charset val="238"/>
      </rPr>
      <t>ck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11"/>
        <color indexed="8"/>
        <rFont val="Arial Narrow"/>
        <family val="2"/>
        <charset val="238"/>
      </rPr>
      <t>)</t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</si>
  <si>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 xml:space="preserve">h,g+q </t>
    </r>
    <r>
      <rPr>
        <sz val="11"/>
        <color indexed="8"/>
        <rFont val="Arial Narrow"/>
        <family val="2"/>
        <charset val="238"/>
      </rPr>
      <t>&lt; 0,6  *f</t>
    </r>
    <r>
      <rPr>
        <vertAlign val="subscript"/>
        <sz val="11"/>
        <color indexed="8"/>
        <rFont val="Arial Narrow"/>
        <family val="2"/>
        <charset val="238"/>
      </rPr>
      <t>ck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tg+q</t>
    </r>
    <r>
      <rPr>
        <sz val="11"/>
        <color indexed="8"/>
        <rFont val="Arial Narrow"/>
        <family val="2"/>
        <charset val="238"/>
      </rPr>
      <t>)</t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</si>
  <si>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 xml:space="preserve">d,g+q </t>
    </r>
    <r>
      <rPr>
        <sz val="11"/>
        <color indexed="8"/>
        <rFont val="Arial Narrow"/>
        <family val="2"/>
        <charset val="238"/>
      </rPr>
      <t>&lt; f</t>
    </r>
    <r>
      <rPr>
        <vertAlign val="subscript"/>
        <sz val="11"/>
        <color indexed="8"/>
        <rFont val="Arial Narrow"/>
        <family val="2"/>
        <charset val="238"/>
      </rPr>
      <t>ctm</t>
    </r>
    <r>
      <rPr>
        <sz val="11"/>
        <color indexed="8"/>
        <rFont val="Arial Narrow"/>
        <family val="2"/>
        <charset val="238"/>
      </rPr>
      <t>(t</t>
    </r>
    <r>
      <rPr>
        <vertAlign val="subscript"/>
        <sz val="11"/>
        <color indexed="8"/>
        <rFont val="Arial Narrow"/>
        <family val="2"/>
        <charset val="238"/>
      </rPr>
      <t>tg+q</t>
    </r>
    <r>
      <rPr>
        <sz val="11"/>
        <color indexed="8"/>
        <rFont val="Arial Narrow"/>
        <family val="2"/>
        <charset val="238"/>
      </rPr>
      <t>)</t>
    </r>
  </si>
  <si>
    <t>již proběhlé ztráty realxací+změny napětí</t>
  </si>
  <si>
    <t>kombinační součinitel (kvazi)</t>
  </si>
  <si>
    <r>
      <t xml:space="preserve">napětí v úrovni výztuže </t>
    </r>
    <r>
      <rPr>
        <sz val="9"/>
        <color indexed="8"/>
        <rFont val="Arial Narrow"/>
        <family val="2"/>
        <charset val="238"/>
      </rPr>
      <t>vyvozené kvazi kombinací</t>
    </r>
  </si>
  <si>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cp,</t>
    </r>
    <r>
      <rPr>
        <vertAlign val="subscript"/>
        <sz val="11"/>
        <color indexed="8"/>
        <rFont val="Arial"/>
        <family val="2"/>
        <charset val="238"/>
      </rPr>
      <t>∞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</si>
  <si>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p,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>)</t>
    </r>
  </si>
  <si>
    <r>
      <t>M</t>
    </r>
    <r>
      <rPr>
        <vertAlign val="subscript"/>
        <sz val="11"/>
        <color indexed="8"/>
        <rFont val="Arial Narrow"/>
        <family val="2"/>
        <charset val="238"/>
      </rPr>
      <t>p,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9"/>
        <color indexed="8"/>
        <rFont val="Arial Narrow"/>
        <family val="2"/>
        <charset val="238"/>
      </rPr>
      <t>(l</t>
    </r>
    <r>
      <rPr>
        <vertAlign val="subscript"/>
        <sz val="9"/>
        <color indexed="8"/>
        <rFont val="Arial Narrow"/>
        <family val="2"/>
        <charset val="238"/>
      </rPr>
      <t>pt1</t>
    </r>
    <r>
      <rPr>
        <sz val="9"/>
        <color indexed="8"/>
        <rFont val="Arial Narrow"/>
        <family val="2"/>
        <charset val="238"/>
      </rPr>
      <t>)</t>
    </r>
  </si>
  <si>
    <t>VÝPOČET ZTRÁT PŘEDPĚTÍ PPD SPIROLL</t>
  </si>
  <si>
    <t>Výpočet ztrát je proveden dle normy ČSN EN 1992-1-1</t>
  </si>
  <si>
    <r>
      <t xml:space="preserve">b) předpínací výztuž </t>
    </r>
    <r>
      <rPr>
        <i/>
        <sz val="11"/>
        <color indexed="8"/>
        <rFont val="Arial Narrow"/>
        <family val="2"/>
        <charset val="238"/>
      </rPr>
      <t>(pro všechny vrstvy lze použít pouze výztuž se stejnou hodnotou meze kluzu)</t>
    </r>
  </si>
  <si>
    <t>tyto hodnoty je třeba do výpočtu dodat, lze například propojit s jiným excelem určeným k výpočtu průřezových charakteristik!!</t>
  </si>
  <si>
    <t>čas transferu ovlivní pevnost betonu v čase vnesení předpětí, výrobce uvádí pevnost na úrovni cca 75% celkové</t>
  </si>
  <si>
    <t>čas vložení ostatního stálého a nahodilého zatížení</t>
  </si>
  <si>
    <t>to odpovídá 4,8dnům (je-li toho dosaženo proteplováním, je třeba upravit výpočet krátkodobých ztrát relaxací výztuže)</t>
  </si>
  <si>
    <r>
      <t>l</t>
    </r>
    <r>
      <rPr>
        <vertAlign val="subscript"/>
        <sz val="11"/>
        <color indexed="8"/>
        <rFont val="Arial Narrow"/>
        <family val="2"/>
        <charset val="238"/>
      </rPr>
      <t>pt2</t>
    </r>
    <r>
      <rPr>
        <sz val="11"/>
        <color indexed="8"/>
        <rFont val="Arial Narrow"/>
        <family val="2"/>
        <charset val="238"/>
      </rPr>
      <t xml:space="preserve"> = 1,2  * l</t>
    </r>
    <r>
      <rPr>
        <vertAlign val="subscript"/>
        <sz val="11"/>
        <color indexed="8"/>
        <rFont val="Arial Narrow"/>
        <family val="2"/>
        <charset val="238"/>
      </rPr>
      <t>pt</t>
    </r>
  </si>
  <si>
    <t>použitá lana, součinitele pro kotevní délku</t>
  </si>
  <si>
    <t>dráty s vtisky (kruhový průřez)</t>
  </si>
  <si>
    <t>3 drátová a 7 drátová lana</t>
  </si>
  <si>
    <t>náhlé uvolnění lana</t>
  </si>
  <si>
    <t>postupné uvolnění lana</t>
  </si>
  <si>
    <t>dobré podmínky v soudržnosti (dle 8.4.2)</t>
  </si>
  <si>
    <t>ostatní případy</t>
  </si>
  <si>
    <t>typ předpínací výztuže</t>
  </si>
  <si>
    <t>podmínky soudržnosti</t>
  </si>
  <si>
    <t>uvolnění předpětí</t>
  </si>
  <si>
    <t>1. ZTRÁTY PŘEDPĚTÍ PŘED TRANSFEREM (okamžité ztráty)</t>
  </si>
  <si>
    <t>Kotevní délka předem předpjaté výztuže</t>
  </si>
  <si>
    <r>
      <rPr>
        <b/>
        <sz val="14"/>
        <color indexed="8"/>
        <rFont val="Symbol"/>
        <family val="1"/>
        <charset val="2"/>
      </rPr>
      <t>s</t>
    </r>
    <r>
      <rPr>
        <b/>
        <vertAlign val="subscript"/>
        <sz val="14"/>
        <color indexed="8"/>
        <rFont val="Arial Narrow"/>
        <family val="2"/>
        <charset val="238"/>
      </rPr>
      <t>p,in</t>
    </r>
  </si>
  <si>
    <t>neuvažuje se s podržením napětí!!!</t>
  </si>
  <si>
    <r>
      <t>OMEZENÍ NAPĚTÍ V ČASE TRANSFERU PŘEDPĚTÍ DO KONSTRUKCE t</t>
    </r>
    <r>
      <rPr>
        <b/>
        <vertAlign val="subscript"/>
        <sz val="12"/>
        <color indexed="8"/>
        <rFont val="Arial Narrow"/>
        <family val="2"/>
        <charset val="238"/>
      </rPr>
      <t>tr</t>
    </r>
  </si>
  <si>
    <r>
      <t>N</t>
    </r>
    <r>
      <rPr>
        <b/>
        <vertAlign val="subscript"/>
        <sz val="11"/>
        <color indexed="8"/>
        <rFont val="Arial Narrow"/>
        <family val="2"/>
        <charset val="238"/>
      </rPr>
      <t>p,tr(L/2)</t>
    </r>
  </si>
  <si>
    <r>
      <t>N</t>
    </r>
    <r>
      <rPr>
        <b/>
        <vertAlign val="subscript"/>
        <sz val="11"/>
        <color indexed="8"/>
        <rFont val="Arial Narrow"/>
        <family val="2"/>
        <charset val="238"/>
      </rPr>
      <t>p,tr(lpt1)</t>
    </r>
  </si>
  <si>
    <r>
      <t>napětí ve výztuži v čase transferu t</t>
    </r>
    <r>
      <rPr>
        <vertAlign val="subscript"/>
        <sz val="11"/>
        <color indexed="8"/>
        <rFont val="Arial Narrow"/>
        <family val="2"/>
        <charset val="238"/>
      </rPr>
      <t xml:space="preserve">tr </t>
    </r>
    <r>
      <rPr>
        <sz val="11"/>
        <color indexed="8"/>
        <rFont val="Arial Narrow"/>
        <family val="2"/>
        <charset val="238"/>
      </rPr>
      <t>uprostřed rozpětí</t>
    </r>
  </si>
  <si>
    <r>
      <t>napětí ve výztuži bez ztráty pružným přetvořením v l</t>
    </r>
    <r>
      <rPr>
        <vertAlign val="subscript"/>
        <sz val="11"/>
        <color indexed="8"/>
        <rFont val="Arial Narrow"/>
        <family val="2"/>
        <charset val="238"/>
      </rPr>
      <t>pt1</t>
    </r>
  </si>
  <si>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p(L/2)</t>
    </r>
  </si>
  <si>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1"/>
        <color indexed="8"/>
        <rFont val="Arial Narrow"/>
        <family val="2"/>
        <charset val="238"/>
      </rPr>
      <t>p(lpt1)</t>
    </r>
  </si>
  <si>
    <r>
      <t xml:space="preserve">omezení dle článku 7.2 normy [1]; </t>
    </r>
    <r>
      <rPr>
        <b/>
        <i/>
        <sz val="11"/>
        <color indexed="8"/>
        <rFont val="Arial Narrow"/>
        <family val="2"/>
        <charset val="238"/>
      </rPr>
      <t xml:space="preserve">předpínací síla působí na ideální průřez a je tedy uvažována bez ztrát elastickým přetvořením prvku </t>
    </r>
  </si>
  <si>
    <r>
      <t>průřez u podpory (vzdálenost od podpory l</t>
    </r>
    <r>
      <rPr>
        <b/>
        <vertAlign val="subscript"/>
        <sz val="11"/>
        <color indexed="8"/>
        <rFont val="Arial Narrow"/>
        <family val="2"/>
        <charset val="238"/>
      </rPr>
      <t>pt1</t>
    </r>
    <r>
      <rPr>
        <b/>
        <sz val="11"/>
        <color indexed="8"/>
        <rFont val="Arial Narrow"/>
        <family val="2"/>
        <charset val="238"/>
      </rPr>
      <t>) v čase t</t>
    </r>
    <r>
      <rPr>
        <b/>
        <vertAlign val="subscript"/>
        <sz val="11"/>
        <color indexed="8"/>
        <rFont val="Arial Narrow"/>
        <family val="2"/>
        <charset val="238"/>
      </rPr>
      <t>tr</t>
    </r>
    <r>
      <rPr>
        <b/>
        <sz val="11"/>
        <color indexed="8"/>
        <rFont val="Arial Narrow"/>
        <family val="2"/>
        <charset val="238"/>
      </rPr>
      <t xml:space="preserve"> </t>
    </r>
    <r>
      <rPr>
        <sz val="10"/>
        <color indexed="8"/>
        <rFont val="Arial Narrow"/>
        <family val="2"/>
        <charset val="238"/>
      </rPr>
      <t>(lana nejsou separovaná, tj působí celá předpínací síla)</t>
    </r>
  </si>
  <si>
    <t>Napětí ve výztuži těsně po vnesení předpětí</t>
  </si>
  <si>
    <r>
      <t>t</t>
    </r>
    <r>
      <rPr>
        <b/>
        <vertAlign val="subscript"/>
        <sz val="11"/>
        <color indexed="8"/>
        <rFont val="Arial Narrow"/>
        <family val="2"/>
        <charset val="238"/>
      </rPr>
      <t>tr</t>
    </r>
  </si>
  <si>
    <r>
      <t>t</t>
    </r>
    <r>
      <rPr>
        <b/>
        <vertAlign val="subscript"/>
        <sz val="11"/>
        <color indexed="8"/>
        <rFont val="Arial Narrow"/>
        <family val="2"/>
        <charset val="238"/>
      </rPr>
      <t>g+q</t>
    </r>
  </si>
  <si>
    <r>
      <t xml:space="preserve">den    </t>
    </r>
    <r>
      <rPr>
        <sz val="11"/>
        <color indexed="8"/>
        <rFont val="Arial Narrow"/>
        <family val="2"/>
        <charset val="238"/>
      </rPr>
      <t xml:space="preserve">     =</t>
    </r>
  </si>
  <si>
    <r>
      <t xml:space="preserve">dní  </t>
    </r>
    <r>
      <rPr>
        <sz val="11"/>
        <color indexed="8"/>
        <rFont val="Arial Narrow"/>
        <family val="2"/>
        <charset val="238"/>
      </rPr>
      <t xml:space="preserve">        =</t>
    </r>
  </si>
  <si>
    <t>2. ZTRÁTY PŘEDPĚTÍ PO TRANSFERU, ČASOVÝ ÚSEK A</t>
  </si>
  <si>
    <r>
      <rPr>
        <sz val="12"/>
        <color indexed="8"/>
        <rFont val="Symbol"/>
        <family val="1"/>
        <charset val="2"/>
      </rPr>
      <t>e</t>
    </r>
    <r>
      <rPr>
        <vertAlign val="subscript"/>
        <sz val="11"/>
        <color indexed="8"/>
        <rFont val="Arial Narrow"/>
        <family val="2"/>
        <charset val="238"/>
      </rPr>
      <t>ca</t>
    </r>
    <r>
      <rPr>
        <vertAlign val="subscript"/>
        <sz val="11"/>
        <color indexed="8"/>
        <rFont val="Arial Narrow"/>
        <family val="2"/>
        <charset val="238"/>
      </rPr>
      <t>(t)</t>
    </r>
  </si>
  <si>
    <r>
      <t>pozn.: v závislosti na druhu cementu je upraveno stáří betonu v okamžiku vnesení zatížení, tj. je stanoveno nové t</t>
    </r>
    <r>
      <rPr>
        <i/>
        <vertAlign val="subscript"/>
        <sz val="10"/>
        <color indexed="8"/>
        <rFont val="Arial Narrow"/>
        <family val="2"/>
        <charset val="238"/>
      </rPr>
      <t>0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</si>
  <si>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p,tg</t>
    </r>
    <r>
      <rPr>
        <sz val="11"/>
        <color indexed="8"/>
        <rFont val="Arial Narrow"/>
        <family val="2"/>
        <charset val="238"/>
      </rPr>
      <t xml:space="preserve"> = A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 xml:space="preserve"> * </t>
    </r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p,tg</t>
    </r>
  </si>
  <si>
    <r>
      <rPr>
        <b/>
        <sz val="14"/>
        <color indexed="8"/>
        <rFont val="Symbol"/>
        <family val="1"/>
        <charset val="2"/>
      </rPr>
      <t>s</t>
    </r>
    <r>
      <rPr>
        <b/>
        <vertAlign val="subscript"/>
        <sz val="14"/>
        <color indexed="8"/>
        <rFont val="Arial Narrow"/>
        <family val="2"/>
        <charset val="238"/>
      </rPr>
      <t>p,tr(L/2)</t>
    </r>
  </si>
  <si>
    <r>
      <rPr>
        <b/>
        <sz val="14"/>
        <color indexed="8"/>
        <rFont val="Symbol"/>
        <family val="1"/>
        <charset val="2"/>
      </rPr>
      <t>s</t>
    </r>
    <r>
      <rPr>
        <b/>
        <vertAlign val="subscript"/>
        <sz val="14"/>
        <color indexed="8"/>
        <rFont val="Arial Narrow"/>
        <family val="2"/>
        <charset val="238"/>
      </rPr>
      <t>p,tr(lpt1)</t>
    </r>
  </si>
  <si>
    <r>
      <t>napětí ve výztuži v t</t>
    </r>
    <r>
      <rPr>
        <b/>
        <vertAlign val="subscript"/>
        <sz val="11"/>
        <color indexed="8"/>
        <rFont val="Arial Narrow"/>
        <family val="2"/>
        <charset val="238"/>
      </rPr>
      <t>g</t>
    </r>
    <r>
      <rPr>
        <b/>
        <sz val="11"/>
        <color indexed="8"/>
        <rFont val="Arial Narrow"/>
        <family val="2"/>
        <charset val="238"/>
      </rPr>
      <t>=21dní</t>
    </r>
    <r>
      <rPr>
        <b/>
        <vertAlign val="subscript"/>
        <sz val="11"/>
        <color indexed="8"/>
        <rFont val="Arial Narrow"/>
        <family val="2"/>
        <charset val="238"/>
      </rPr>
      <t xml:space="preserve"> </t>
    </r>
    <r>
      <rPr>
        <b/>
        <sz val="11"/>
        <color indexed="8"/>
        <rFont val="Arial Narrow"/>
        <family val="2"/>
        <charset val="238"/>
      </rPr>
      <t>uprostřed rozpětí</t>
    </r>
  </si>
  <si>
    <r>
      <t>N</t>
    </r>
    <r>
      <rPr>
        <vertAlign val="subscript"/>
        <sz val="11"/>
        <color indexed="8"/>
        <rFont val="Calibri"/>
        <family val="2"/>
        <charset val="238"/>
      </rPr>
      <t>p,tg</t>
    </r>
    <r>
      <rPr>
        <sz val="11"/>
        <color indexed="8"/>
        <rFont val="Calibri"/>
        <family val="2"/>
        <charset val="238"/>
      </rPr>
      <t>(L/2)</t>
    </r>
  </si>
  <si>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2"/>
        <color indexed="8"/>
        <rFont val="Arial Narrow"/>
        <family val="2"/>
        <charset val="238"/>
      </rPr>
      <t>p,tg(L/2)</t>
    </r>
  </si>
  <si>
    <r>
      <t>b) průřez u podpory  ve vzdálenosti l</t>
    </r>
    <r>
      <rPr>
        <b/>
        <vertAlign val="subscript"/>
        <sz val="11"/>
        <color indexed="8"/>
        <rFont val="Arial Narrow"/>
        <family val="2"/>
        <charset val="238"/>
      </rPr>
      <t>pt1</t>
    </r>
  </si>
  <si>
    <t>již proběhlé ztráty relaxací</t>
  </si>
  <si>
    <r>
      <t>napětí ve výztuži v čase t</t>
    </r>
    <r>
      <rPr>
        <b/>
        <vertAlign val="subscript"/>
        <sz val="11"/>
        <color indexed="8"/>
        <rFont val="Arial Narrow"/>
        <family val="2"/>
        <charset val="238"/>
      </rPr>
      <t>g</t>
    </r>
    <r>
      <rPr>
        <b/>
        <sz val="11"/>
        <color indexed="8"/>
        <rFont val="Arial Narrow"/>
        <family val="2"/>
        <charset val="238"/>
      </rPr>
      <t>=21 dní u podpory</t>
    </r>
  </si>
  <si>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2"/>
        <color indexed="8"/>
        <rFont val="Arial Narrow"/>
        <family val="2"/>
        <charset val="238"/>
      </rPr>
      <t>p,tg(lpt1)</t>
    </r>
  </si>
  <si>
    <t>pozn.: souč. dotvarování je stejný jako ve výpočtu uprostřed rozpětí</t>
  </si>
  <si>
    <r>
      <t>OMEZENÍ NAPĚTÍ V ČASE UMÍSTĚNÍ PRVKU DO KONSTRUKCE t</t>
    </r>
    <r>
      <rPr>
        <b/>
        <vertAlign val="subscript"/>
        <sz val="12"/>
        <color indexed="8"/>
        <rFont val="Arial Narrow"/>
        <family val="2"/>
        <charset val="238"/>
      </rPr>
      <t xml:space="preserve">g+q </t>
    </r>
    <r>
      <rPr>
        <b/>
        <sz val="12"/>
        <color indexed="8"/>
        <rFont val="Arial Narrow"/>
        <family val="2"/>
        <charset val="238"/>
      </rPr>
      <t>(na konci časového úseku A)</t>
    </r>
  </si>
  <si>
    <r>
      <t>průřez u podpory (vzdálenost od podpory l</t>
    </r>
    <r>
      <rPr>
        <b/>
        <vertAlign val="subscript"/>
        <sz val="11"/>
        <color indexed="8"/>
        <rFont val="Arial Narrow"/>
        <family val="2"/>
        <charset val="238"/>
      </rPr>
      <t>pt1</t>
    </r>
    <r>
      <rPr>
        <b/>
        <sz val="11"/>
        <color indexed="8"/>
        <rFont val="Arial Narrow"/>
        <family val="2"/>
        <charset val="238"/>
      </rPr>
      <t>) v čase t</t>
    </r>
    <r>
      <rPr>
        <b/>
        <vertAlign val="subscript"/>
        <sz val="11"/>
        <color indexed="8"/>
        <rFont val="Arial Narrow"/>
        <family val="2"/>
        <charset val="238"/>
      </rPr>
      <t>tg+q</t>
    </r>
    <r>
      <rPr>
        <sz val="10"/>
        <color indexed="8"/>
        <rFont val="Arial Narrow"/>
        <family val="2"/>
        <charset val="238"/>
      </rPr>
      <t xml:space="preserve"> (lana nejsou separovaná, tj působí celá předpínací síla)</t>
    </r>
  </si>
  <si>
    <r>
      <t>t</t>
    </r>
    <r>
      <rPr>
        <b/>
        <vertAlign val="subscript"/>
        <sz val="11"/>
        <color indexed="8"/>
        <rFont val="Arial"/>
        <family val="2"/>
        <charset val="238"/>
      </rPr>
      <t>∞</t>
    </r>
  </si>
  <si>
    <t>3. ZTRÁTY PŘEDPĚTÍ PO TRANSFERU, ČASOVÝ ÚSEK B - užívání kce</t>
  </si>
  <si>
    <t>(pozn.: odečtena již proběhlá ztráta od smršťování v intervalu A)</t>
  </si>
  <si>
    <r>
      <t>pozn: uvažováno t</t>
    </r>
    <r>
      <rPr>
        <i/>
        <vertAlign val="subscript"/>
        <sz val="11"/>
        <color indexed="8"/>
        <rFont val="Arial Narrow"/>
        <family val="2"/>
        <charset val="238"/>
      </rPr>
      <t>s</t>
    </r>
    <r>
      <rPr>
        <i/>
        <sz val="11"/>
        <color indexed="8"/>
        <rFont val="Arial Narrow"/>
        <family val="2"/>
        <charset val="238"/>
      </rPr>
      <t xml:space="preserve"> = t</t>
    </r>
    <r>
      <rPr>
        <i/>
        <vertAlign val="subscript"/>
        <sz val="11"/>
        <color indexed="8"/>
        <rFont val="Arial Narrow"/>
        <family val="2"/>
        <charset val="238"/>
      </rPr>
      <t>tr</t>
    </r>
  </si>
  <si>
    <r>
      <t>napětí ve výztuži v čase t</t>
    </r>
    <r>
      <rPr>
        <b/>
        <vertAlign val="subscript"/>
        <sz val="11"/>
        <color indexed="8"/>
        <rFont val="Arial"/>
        <family val="2"/>
        <charset val="238"/>
      </rPr>
      <t>∞</t>
    </r>
    <r>
      <rPr>
        <b/>
        <vertAlign val="subscript"/>
        <sz val="11"/>
        <color indexed="8"/>
        <rFont val="Arial Narrow"/>
        <family val="2"/>
        <charset val="238"/>
      </rPr>
      <t xml:space="preserve"> </t>
    </r>
    <r>
      <rPr>
        <b/>
        <sz val="11"/>
        <color indexed="8"/>
        <rFont val="Arial Narrow"/>
        <family val="2"/>
        <charset val="238"/>
      </rPr>
      <t>uprostřed rozpětí</t>
    </r>
  </si>
  <si>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2"/>
        <color indexed="8"/>
        <rFont val="Arial Narrow"/>
        <family val="2"/>
        <charset val="238"/>
      </rPr>
      <t>p,t</t>
    </r>
    <r>
      <rPr>
        <b/>
        <vertAlign val="subscript"/>
        <sz val="12"/>
        <color indexed="8"/>
        <rFont val="Arial"/>
        <family val="2"/>
        <charset val="238"/>
      </rPr>
      <t>∞</t>
    </r>
    <r>
      <rPr>
        <b/>
        <sz val="12"/>
        <color indexed="8"/>
        <rFont val="Arial Narrow"/>
        <family val="2"/>
        <charset val="238"/>
      </rPr>
      <t>(L/2)</t>
    </r>
  </si>
  <si>
    <r>
      <t>napětí ve výztuži v čase t</t>
    </r>
    <r>
      <rPr>
        <b/>
        <vertAlign val="subscript"/>
        <sz val="11"/>
        <color indexed="8"/>
        <rFont val="Arial"/>
        <family val="2"/>
        <charset val="238"/>
      </rPr>
      <t>∞</t>
    </r>
    <r>
      <rPr>
        <b/>
        <vertAlign val="subscript"/>
        <sz val="11"/>
        <color indexed="8"/>
        <rFont val="Arial Narrow"/>
        <family val="2"/>
        <charset val="238"/>
      </rPr>
      <t xml:space="preserve"> </t>
    </r>
    <r>
      <rPr>
        <b/>
        <sz val="11"/>
        <color indexed="8"/>
        <rFont val="Arial Narrow"/>
        <family val="2"/>
        <charset val="238"/>
      </rPr>
      <t>u podpory</t>
    </r>
  </si>
  <si>
    <r>
      <t>působící předpínací síla u podpory v čase t</t>
    </r>
    <r>
      <rPr>
        <b/>
        <vertAlign val="subscript"/>
        <sz val="11"/>
        <color indexed="8"/>
        <rFont val="Arial"/>
        <family val="2"/>
        <charset val="238"/>
      </rPr>
      <t>∞</t>
    </r>
    <r>
      <rPr>
        <b/>
        <sz val="11"/>
        <color indexed="8"/>
        <rFont val="Arial Narrow"/>
        <family val="2"/>
        <charset val="238"/>
      </rPr>
      <t xml:space="preserve"> = 36500 dní</t>
    </r>
  </si>
  <si>
    <r>
      <t>působící předpínací síla uprostřed rozpětí v čase t</t>
    </r>
    <r>
      <rPr>
        <b/>
        <vertAlign val="subscript"/>
        <sz val="11"/>
        <color indexed="8"/>
        <rFont val="Arial"/>
        <family val="2"/>
        <charset val="238"/>
      </rPr>
      <t>∞</t>
    </r>
    <r>
      <rPr>
        <b/>
        <sz val="11"/>
        <color indexed="8"/>
        <rFont val="Arial Narrow"/>
        <family val="2"/>
        <charset val="238"/>
      </rPr>
      <t xml:space="preserve"> = 36500 dní</t>
    </r>
  </si>
  <si>
    <r>
      <t>OMEZENÍ NAPĚTÍ V ČASE PROJEKTOVANÉ ŽIVOTNOSTI KONSTRUKCE t</t>
    </r>
    <r>
      <rPr>
        <b/>
        <vertAlign val="subscript"/>
        <sz val="12"/>
        <color indexed="8"/>
        <rFont val="Arial"/>
        <family val="2"/>
        <charset val="238"/>
      </rPr>
      <t xml:space="preserve">∞ </t>
    </r>
    <r>
      <rPr>
        <b/>
        <sz val="12"/>
        <color indexed="8"/>
        <rFont val="Arial"/>
        <family val="2"/>
        <charset val="238"/>
      </rPr>
      <t>(na konci časového úseku B)</t>
    </r>
  </si>
  <si>
    <r>
      <rPr>
        <b/>
        <sz val="12"/>
        <color indexed="8"/>
        <rFont val="Symbol"/>
        <family val="1"/>
        <charset val="2"/>
      </rPr>
      <t>s</t>
    </r>
    <r>
      <rPr>
        <b/>
        <vertAlign val="subscript"/>
        <sz val="12"/>
        <color indexed="8"/>
        <rFont val="Arial Narrow"/>
        <family val="2"/>
        <charset val="238"/>
      </rPr>
      <t>p,t</t>
    </r>
    <r>
      <rPr>
        <b/>
        <vertAlign val="subscript"/>
        <sz val="12"/>
        <color indexed="8"/>
        <rFont val="Arial"/>
        <family val="2"/>
        <charset val="238"/>
      </rPr>
      <t>∞</t>
    </r>
    <r>
      <rPr>
        <b/>
        <vertAlign val="subscript"/>
        <sz val="12"/>
        <color indexed="8"/>
        <rFont val="Arial Narrow"/>
        <family val="2"/>
        <charset val="238"/>
      </rPr>
      <t>(lpt1)</t>
    </r>
  </si>
  <si>
    <r>
      <t>N</t>
    </r>
    <r>
      <rPr>
        <b/>
        <vertAlign val="subscript"/>
        <sz val="11"/>
        <color indexed="8"/>
        <rFont val="Arial Narrow"/>
        <family val="2"/>
        <charset val="238"/>
      </rPr>
      <t>p,t</t>
    </r>
    <r>
      <rPr>
        <b/>
        <vertAlign val="subscript"/>
        <sz val="11"/>
        <color indexed="8"/>
        <rFont val="Arial"/>
        <family val="2"/>
        <charset val="238"/>
      </rPr>
      <t>∞</t>
    </r>
    <r>
      <rPr>
        <b/>
        <vertAlign val="subscript"/>
        <sz val="9"/>
        <color indexed="8"/>
        <rFont val="Arial Narrow"/>
        <family val="2"/>
        <charset val="238"/>
      </rPr>
      <t>(lpt1)</t>
    </r>
  </si>
  <si>
    <r>
      <t>N</t>
    </r>
    <r>
      <rPr>
        <vertAlign val="subscript"/>
        <sz val="11"/>
        <color indexed="8"/>
        <rFont val="Arial Narrow"/>
        <family val="2"/>
        <charset val="238"/>
      </rPr>
      <t>p,t</t>
    </r>
    <r>
      <rPr>
        <vertAlign val="subscript"/>
        <sz val="11"/>
        <color indexed="8"/>
        <rFont val="Arial"/>
        <family val="2"/>
        <charset val="238"/>
      </rPr>
      <t>∞</t>
    </r>
    <r>
      <rPr>
        <sz val="11"/>
        <color indexed="8"/>
        <rFont val="Arial Narrow"/>
        <family val="2"/>
        <charset val="238"/>
      </rPr>
      <t xml:space="preserve"> = A</t>
    </r>
    <r>
      <rPr>
        <vertAlign val="subscript"/>
        <sz val="11"/>
        <color indexed="8"/>
        <rFont val="Arial Narrow"/>
        <family val="2"/>
        <charset val="238"/>
      </rPr>
      <t>p</t>
    </r>
    <r>
      <rPr>
        <sz val="11"/>
        <color indexed="8"/>
        <rFont val="Arial Narrow"/>
        <family val="2"/>
        <charset val="238"/>
      </rPr>
      <t xml:space="preserve"> * </t>
    </r>
    <r>
      <rPr>
        <sz val="12"/>
        <color indexed="8"/>
        <rFont val="Symbol"/>
        <family val="1"/>
        <charset val="2"/>
      </rPr>
      <t>s</t>
    </r>
    <r>
      <rPr>
        <vertAlign val="subscript"/>
        <sz val="11"/>
        <color indexed="8"/>
        <rFont val="Arial Narrow"/>
        <family val="2"/>
        <charset val="238"/>
      </rPr>
      <t>p,t</t>
    </r>
    <r>
      <rPr>
        <vertAlign val="subscript"/>
        <sz val="11"/>
        <color indexed="8"/>
        <rFont val="Arial"/>
        <family val="2"/>
        <charset val="238"/>
      </rPr>
      <t>∞</t>
    </r>
  </si>
  <si>
    <r>
      <t>průřez u podpory (vzdálenost od podpory l</t>
    </r>
    <r>
      <rPr>
        <b/>
        <vertAlign val="subscript"/>
        <sz val="11"/>
        <color indexed="8"/>
        <rFont val="Arial Narrow"/>
        <family val="2"/>
        <charset val="238"/>
      </rPr>
      <t>pt1</t>
    </r>
    <r>
      <rPr>
        <b/>
        <sz val="11"/>
        <color indexed="8"/>
        <rFont val="Arial Narrow"/>
        <family val="2"/>
        <charset val="238"/>
      </rPr>
      <t>) v čase t</t>
    </r>
    <r>
      <rPr>
        <b/>
        <vertAlign val="subscript"/>
        <sz val="11"/>
        <color indexed="8"/>
        <rFont val="Arial"/>
        <family val="2"/>
        <charset val="238"/>
      </rPr>
      <t>∞</t>
    </r>
    <r>
      <rPr>
        <sz val="10"/>
        <color indexed="8"/>
        <rFont val="Arial Narrow"/>
        <family val="2"/>
        <charset val="238"/>
      </rPr>
      <t xml:space="preserve"> (lana nejsou separovaná, tj působí celá předpínací síla)</t>
    </r>
  </si>
  <si>
    <r>
      <t>s</t>
    </r>
    <r>
      <rPr>
        <b/>
        <vertAlign val="subscript"/>
        <sz val="11"/>
        <color indexed="8"/>
        <rFont val="Arial Narrow"/>
        <family val="2"/>
        <charset val="238"/>
      </rPr>
      <t>p,in</t>
    </r>
  </si>
  <si>
    <r>
      <t>s</t>
    </r>
    <r>
      <rPr>
        <b/>
        <vertAlign val="subscript"/>
        <sz val="11"/>
        <color indexed="8"/>
        <rFont val="Arial Narrow"/>
        <family val="2"/>
        <charset val="238"/>
      </rPr>
      <t>p</t>
    </r>
  </si>
  <si>
    <r>
      <t>s</t>
    </r>
    <r>
      <rPr>
        <b/>
        <vertAlign val="subscript"/>
        <sz val="11"/>
        <color indexed="8"/>
        <rFont val="Arial Narrow"/>
        <family val="2"/>
        <charset val="238"/>
      </rPr>
      <t>p,tr</t>
    </r>
  </si>
  <si>
    <r>
      <t>s</t>
    </r>
    <r>
      <rPr>
        <b/>
        <vertAlign val="subscript"/>
        <sz val="11"/>
        <color indexed="8"/>
        <rFont val="Arial Narrow"/>
        <family val="2"/>
        <charset val="238"/>
      </rPr>
      <t>p,tg+q</t>
    </r>
  </si>
  <si>
    <r>
      <t>s</t>
    </r>
    <r>
      <rPr>
        <b/>
        <vertAlign val="subscript"/>
        <sz val="11"/>
        <color indexed="8"/>
        <rFont val="Arial Narrow"/>
        <family val="2"/>
        <charset val="238"/>
      </rPr>
      <t>p,t</t>
    </r>
    <r>
      <rPr>
        <b/>
        <vertAlign val="subscript"/>
        <sz val="11"/>
        <color indexed="8"/>
        <rFont val="Arial"/>
        <family val="2"/>
        <charset val="238"/>
      </rPr>
      <t>∞</t>
    </r>
  </si>
  <si>
    <r>
      <t xml:space="preserve">návrhový moment od svislého zatížení </t>
    </r>
    <r>
      <rPr>
        <b/>
        <sz val="10"/>
        <color indexed="8"/>
        <rFont val="Arial Narrow"/>
        <family val="2"/>
        <charset val="238"/>
      </rPr>
      <t>(dle ČSN EN 1990)</t>
    </r>
  </si>
  <si>
    <t>tuto hodnotu je třeba do výpočtu dodat, lze například propojit s jiným excelem určeným k výpočtu průřezových charakteristik!!</t>
  </si>
  <si>
    <r>
      <t>pozn.: kotevní délka l</t>
    </r>
    <r>
      <rPr>
        <i/>
        <vertAlign val="subscript"/>
        <sz val="11"/>
        <color indexed="8"/>
        <rFont val="Arial Narrow"/>
        <family val="2"/>
        <charset val="238"/>
      </rPr>
      <t>pt2</t>
    </r>
  </si>
  <si>
    <r>
      <t>M</t>
    </r>
    <r>
      <rPr>
        <vertAlign val="subscript"/>
        <sz val="11"/>
        <color indexed="8"/>
        <rFont val="Arial Narrow"/>
        <family val="2"/>
        <charset val="238"/>
      </rPr>
      <t>tot</t>
    </r>
    <r>
      <rPr>
        <sz val="11"/>
        <color indexed="8"/>
        <rFont val="Arial Narrow"/>
        <family val="2"/>
        <charset val="238"/>
      </rPr>
      <t xml:space="preserve"> = M</t>
    </r>
    <r>
      <rPr>
        <vertAlign val="subscript"/>
        <sz val="11"/>
        <color indexed="8"/>
        <rFont val="Arial Narrow"/>
        <family val="2"/>
        <charset val="238"/>
      </rPr>
      <t>Ed</t>
    </r>
    <r>
      <rPr>
        <sz val="11"/>
        <color indexed="8"/>
        <rFont val="Arial Narrow"/>
        <family val="2"/>
        <charset val="238"/>
      </rPr>
      <t xml:space="preserve"> - N</t>
    </r>
    <r>
      <rPr>
        <vertAlign val="subscript"/>
        <sz val="11"/>
        <color indexed="8"/>
        <rFont val="Arial Narrow"/>
        <family val="2"/>
        <charset val="238"/>
      </rPr>
      <t>pd,t∞</t>
    </r>
    <r>
      <rPr>
        <sz val="11"/>
        <color indexed="8"/>
        <rFont val="Arial Narrow"/>
        <family val="2"/>
        <charset val="238"/>
      </rPr>
      <t>*e</t>
    </r>
    <r>
      <rPr>
        <vertAlign val="subscript"/>
        <sz val="11"/>
        <color indexed="8"/>
        <rFont val="Arial Narrow"/>
        <family val="2"/>
        <charset val="238"/>
      </rPr>
      <t>p</t>
    </r>
  </si>
  <si>
    <t>PPD SPIROLL - ZTRÁTY PŘEDPĚTÍ</t>
  </si>
  <si>
    <t>DEMO VERZE</t>
  </si>
  <si>
    <t>Zadávat pouze bíle vyplněné buňky!</t>
  </si>
  <si>
    <t>Lze upravovat pouze hodnotu inicializačního napětí ve výztuži, další hodnoty návrhu jsou defaultní!!</t>
  </si>
  <si>
    <t>Program je rozdělen na dvě části, přičemž první obsahuje určení ztrát předpětí na prvku daných rozměrů, druhá pak ORIENTAČNÍ posouzení prvku na I.MS.</t>
  </si>
</sst>
</file>

<file path=xl/styles.xml><?xml version="1.0" encoding="utf-8"?>
<styleSheet xmlns="http://schemas.openxmlformats.org/spreadsheetml/2006/main">
  <numFmts count="6">
    <numFmt numFmtId="164" formatCode="0.0"/>
    <numFmt numFmtId="165" formatCode="0.000"/>
    <numFmt numFmtId="166" formatCode="0.000E+00"/>
    <numFmt numFmtId="167" formatCode="0.0000"/>
    <numFmt numFmtId="168" formatCode="0.00000"/>
    <numFmt numFmtId="169" formatCode="0.000.E+00"/>
  </numFmts>
  <fonts count="82">
    <font>
      <sz val="11"/>
      <color theme="1"/>
      <name val="Calibri"/>
      <family val="2"/>
      <charset val="238"/>
      <scheme val="minor"/>
    </font>
    <font>
      <sz val="11"/>
      <color indexed="8"/>
      <name val="Arial Narrow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i/>
      <sz val="10"/>
      <name val="Symbol"/>
      <family val="1"/>
      <charset val="2"/>
    </font>
    <font>
      <sz val="9"/>
      <color indexed="8"/>
      <name val="Arial Narrow"/>
      <family val="2"/>
      <charset val="238"/>
    </font>
    <font>
      <sz val="8"/>
      <color indexed="8"/>
      <name val="Arial Narrow"/>
      <family val="2"/>
      <charset val="238"/>
    </font>
    <font>
      <vertAlign val="subscript"/>
      <sz val="11"/>
      <color indexed="8"/>
      <name val="Arial Narrow"/>
      <family val="2"/>
      <charset val="238"/>
    </font>
    <font>
      <vertAlign val="subscript"/>
      <sz val="10"/>
      <name val="Arial Narrow"/>
      <family val="2"/>
      <charset val="238"/>
    </font>
    <font>
      <sz val="12"/>
      <name val="Symbol"/>
      <family val="1"/>
      <charset val="2"/>
    </font>
    <font>
      <vertAlign val="subscript"/>
      <sz val="11"/>
      <color indexed="8"/>
      <name val="Calibri"/>
      <family val="2"/>
      <charset val="238"/>
    </font>
    <font>
      <vertAlign val="superscript"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vertAlign val="subscript"/>
      <sz val="11"/>
      <name val="Arial Narrow"/>
      <family val="2"/>
      <charset val="238"/>
    </font>
    <font>
      <sz val="12"/>
      <color indexed="8"/>
      <name val="Symbol"/>
      <family val="1"/>
      <charset val="2"/>
    </font>
    <font>
      <b/>
      <vertAlign val="subscript"/>
      <sz val="11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vertAlign val="subscript"/>
      <sz val="11"/>
      <color indexed="8"/>
      <name val="Arial"/>
      <family val="2"/>
      <charset val="238"/>
    </font>
    <font>
      <sz val="11"/>
      <color indexed="8"/>
      <name val="Symbol"/>
      <family val="1"/>
      <charset val="2"/>
    </font>
    <font>
      <vertAlign val="superscript"/>
      <sz val="11"/>
      <color indexed="8"/>
      <name val="Calibri"/>
      <family val="2"/>
      <charset val="238"/>
    </font>
    <font>
      <sz val="10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b/>
      <sz val="11"/>
      <color indexed="8"/>
      <name val="Symbol"/>
      <family val="1"/>
      <charset val="2"/>
    </font>
    <font>
      <b/>
      <sz val="12"/>
      <color indexed="8"/>
      <name val="Symbol"/>
      <family val="1"/>
      <charset val="2"/>
    </font>
    <font>
      <sz val="9"/>
      <color indexed="81"/>
      <name val="Tahoma"/>
      <family val="2"/>
      <charset val="238"/>
    </font>
    <font>
      <vertAlign val="superscript"/>
      <sz val="11"/>
      <color indexed="8"/>
      <name val="Symbol"/>
      <family val="1"/>
      <charset val="2"/>
    </font>
    <font>
      <vertAlign val="subscript"/>
      <sz val="10"/>
      <color indexed="8"/>
      <name val="Arial Narrow"/>
      <family val="2"/>
      <charset val="238"/>
    </font>
    <font>
      <b/>
      <vertAlign val="superscript"/>
      <sz val="11"/>
      <color indexed="8"/>
      <name val="Arial Narrow"/>
      <family val="2"/>
      <charset val="238"/>
    </font>
    <font>
      <vertAlign val="subscript"/>
      <sz val="9"/>
      <color indexed="8"/>
      <name val="Arial Narrow"/>
      <family val="2"/>
      <charset val="238"/>
    </font>
    <font>
      <sz val="11"/>
      <color indexed="8"/>
      <name val="Arial"/>
      <family val="2"/>
      <charset val="238"/>
    </font>
    <font>
      <u/>
      <sz val="11"/>
      <color indexed="8"/>
      <name val="Arial Narrow"/>
      <family val="2"/>
      <charset val="238"/>
    </font>
    <font>
      <sz val="9"/>
      <color indexed="8"/>
      <name val="Calibri"/>
      <family val="2"/>
      <charset val="238"/>
    </font>
    <font>
      <sz val="11"/>
      <color indexed="8"/>
      <name val="Cambria"/>
      <family val="1"/>
      <charset val="238"/>
    </font>
    <font>
      <u/>
      <vertAlign val="subscript"/>
      <sz val="11"/>
      <color indexed="8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b/>
      <vertAlign val="subscript"/>
      <sz val="9"/>
      <color indexed="8"/>
      <name val="Arial Narrow"/>
      <family val="2"/>
      <charset val="238"/>
    </font>
    <font>
      <vertAlign val="subscript"/>
      <sz val="11"/>
      <color indexed="8"/>
      <name val="Symbol"/>
      <family val="1"/>
      <charset val="2"/>
    </font>
    <font>
      <b/>
      <vertAlign val="subscript"/>
      <sz val="11"/>
      <color indexed="8"/>
      <name val="Arial"/>
      <family val="2"/>
      <charset val="238"/>
    </font>
    <font>
      <vertAlign val="subscript"/>
      <sz val="11"/>
      <color indexed="8"/>
      <name val="Cambria"/>
      <family val="1"/>
      <charset val="238"/>
    </font>
    <font>
      <b/>
      <sz val="11"/>
      <color indexed="8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indexed="81"/>
      <name val="Calibri"/>
      <family val="2"/>
      <charset val="238"/>
    </font>
    <font>
      <i/>
      <sz val="11"/>
      <color indexed="8"/>
      <name val="Arial Narrow"/>
      <family val="2"/>
      <charset val="238"/>
    </font>
    <font>
      <i/>
      <u/>
      <sz val="11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b/>
      <i/>
      <sz val="11"/>
      <color indexed="8"/>
      <name val="Arial Narrow"/>
      <family val="2"/>
      <charset val="238"/>
    </font>
    <font>
      <b/>
      <vertAlign val="subscript"/>
      <sz val="12"/>
      <color indexed="8"/>
      <name val="Arial Narrow"/>
      <family val="2"/>
      <charset val="238"/>
    </font>
    <font>
      <b/>
      <sz val="14"/>
      <color indexed="8"/>
      <name val="Symbol"/>
      <family val="1"/>
      <charset val="2"/>
    </font>
    <font>
      <b/>
      <vertAlign val="subscript"/>
      <sz val="14"/>
      <color indexed="8"/>
      <name val="Arial Narrow"/>
      <family val="2"/>
      <charset val="238"/>
    </font>
    <font>
      <i/>
      <vertAlign val="subscript"/>
      <sz val="10"/>
      <color indexed="8"/>
      <name val="Arial Narrow"/>
      <family val="2"/>
      <charset val="238"/>
    </font>
    <font>
      <sz val="11"/>
      <color indexed="8"/>
      <name val="Calibri"/>
      <family val="2"/>
      <charset val="238"/>
    </font>
    <font>
      <i/>
      <vertAlign val="subscript"/>
      <sz val="11"/>
      <color indexed="8"/>
      <name val="Arial Narrow"/>
      <family val="2"/>
      <charset val="238"/>
    </font>
    <font>
      <b/>
      <vertAlign val="subscript"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u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i/>
      <u/>
      <sz val="11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2"/>
      <color theme="1"/>
      <name val="Symbol"/>
      <family val="1"/>
      <charset val="2"/>
    </font>
    <font>
      <b/>
      <sz val="10.5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b/>
      <sz val="18"/>
      <color theme="1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i/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Symbol"/>
      <family val="1"/>
      <charset val="2"/>
    </font>
    <font>
      <i/>
      <sz val="9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248">
    <xf numFmtId="0" fontId="0" fillId="0" borderId="0" xfId="0"/>
    <xf numFmtId="0" fontId="59" fillId="0" borderId="0" xfId="0" applyFont="1"/>
    <xf numFmtId="0" fontId="2" fillId="0" borderId="0" xfId="1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1" applyFont="1" applyFill="1" applyBorder="1"/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1" fontId="2" fillId="0" borderId="0" xfId="1" applyNumberFormat="1" applyFont="1" applyBorder="1"/>
    <xf numFmtId="49" fontId="2" fillId="0" borderId="0" xfId="1" applyNumberFormat="1" applyFont="1" applyBorder="1"/>
    <xf numFmtId="0" fontId="3" fillId="0" borderId="0" xfId="0" applyFont="1" applyFill="1" applyBorder="1"/>
    <xf numFmtId="0" fontId="5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1" applyFont="1" applyBorder="1" applyAlignment="1">
      <alignment horizontal="center"/>
    </xf>
    <xf numFmtId="11" fontId="2" fillId="0" borderId="0" xfId="1" applyNumberFormat="1" applyFont="1" applyBorder="1" applyAlignment="1">
      <alignment horizontal="center"/>
    </xf>
    <xf numFmtId="0" fontId="1" fillId="0" borderId="0" xfId="0" applyFont="1" applyFill="1" applyAlignment="1">
      <alignment horizontal="right"/>
    </xf>
    <xf numFmtId="0" fontId="0" fillId="0" borderId="0" xfId="0" applyProtection="1">
      <protection hidden="1"/>
    </xf>
    <xf numFmtId="0" fontId="75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81" fillId="0" borderId="0" xfId="0" applyFont="1" applyAlignment="1" applyProtection="1">
      <alignment horizontal="center"/>
      <protection hidden="1"/>
    </xf>
    <xf numFmtId="0" fontId="80" fillId="0" borderId="0" xfId="0" applyFont="1" applyAlignment="1" applyProtection="1">
      <alignment horizontal="center"/>
      <protection hidden="1"/>
    </xf>
    <xf numFmtId="0" fontId="74" fillId="5" borderId="10" xfId="0" applyFont="1" applyFill="1" applyBorder="1" applyProtection="1">
      <protection hidden="1"/>
    </xf>
    <xf numFmtId="0" fontId="75" fillId="5" borderId="11" xfId="0" applyFont="1" applyFill="1" applyBorder="1" applyProtection="1">
      <protection hidden="1"/>
    </xf>
    <xf numFmtId="0" fontId="75" fillId="5" borderId="12" xfId="0" applyFont="1" applyFill="1" applyBorder="1" applyProtection="1">
      <protection hidden="1"/>
    </xf>
    <xf numFmtId="0" fontId="72" fillId="2" borderId="0" xfId="0" applyFont="1" applyFill="1" applyProtection="1">
      <protection hidden="1"/>
    </xf>
    <xf numFmtId="0" fontId="59" fillId="2" borderId="0" xfId="0" applyFont="1" applyFill="1" applyProtection="1">
      <protection hidden="1"/>
    </xf>
    <xf numFmtId="0" fontId="59" fillId="0" borderId="0" xfId="0" applyFont="1" applyAlignment="1" applyProtection="1">
      <alignment horizontal="right"/>
      <protection hidden="1"/>
    </xf>
    <xf numFmtId="0" fontId="59" fillId="0" borderId="0" xfId="0" applyFont="1" applyProtection="1">
      <protection hidden="1"/>
    </xf>
    <xf numFmtId="0" fontId="60" fillId="2" borderId="1" xfId="0" applyFont="1" applyFill="1" applyBorder="1" applyProtection="1">
      <protection hidden="1"/>
    </xf>
    <xf numFmtId="0" fontId="59" fillId="2" borderId="1" xfId="0" applyFont="1" applyFill="1" applyBorder="1" applyProtection="1">
      <protection hidden="1"/>
    </xf>
    <xf numFmtId="0" fontId="59" fillId="2" borderId="0" xfId="0" applyFont="1" applyFill="1" applyAlignment="1" applyProtection="1">
      <alignment horizontal="right"/>
      <protection hidden="1"/>
    </xf>
    <xf numFmtId="0" fontId="59" fillId="2" borderId="0" xfId="0" applyFont="1" applyFill="1" applyAlignment="1" applyProtection="1">
      <alignment horizontal="center"/>
      <protection hidden="1"/>
    </xf>
    <xf numFmtId="164" fontId="59" fillId="3" borderId="0" xfId="0" applyNumberFormat="1" applyFont="1" applyFill="1" applyAlignment="1" applyProtection="1">
      <alignment horizontal="center"/>
      <protection hidden="1"/>
    </xf>
    <xf numFmtId="165" fontId="59" fillId="3" borderId="0" xfId="0" applyNumberFormat="1" applyFont="1" applyFill="1" applyAlignment="1" applyProtection="1">
      <alignment horizontal="center"/>
      <protection hidden="1"/>
    </xf>
    <xf numFmtId="164" fontId="59" fillId="2" borderId="0" xfId="0" applyNumberFormat="1" applyFont="1" applyFill="1" applyAlignment="1" applyProtection="1">
      <alignment horizontal="center"/>
      <protection hidden="1"/>
    </xf>
    <xf numFmtId="0" fontId="64" fillId="2" borderId="0" xfId="0" applyFont="1" applyFill="1" applyProtection="1">
      <protection hidden="1"/>
    </xf>
    <xf numFmtId="0" fontId="63" fillId="2" borderId="0" xfId="0" applyFont="1" applyFill="1" applyAlignment="1" applyProtection="1">
      <alignment horizontal="center"/>
      <protection hidden="1"/>
    </xf>
    <xf numFmtId="0" fontId="60" fillId="0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right"/>
      <protection hidden="1"/>
    </xf>
    <xf numFmtId="164" fontId="59" fillId="0" borderId="0" xfId="0" applyNumberFormat="1" applyFont="1" applyFill="1" applyAlignment="1" applyProtection="1">
      <alignment horizontal="center"/>
      <protection hidden="1"/>
    </xf>
    <xf numFmtId="0" fontId="67" fillId="2" borderId="0" xfId="0" applyFont="1" applyFill="1" applyProtection="1">
      <protection hidden="1"/>
    </xf>
    <xf numFmtId="164" fontId="65" fillId="2" borderId="0" xfId="0" applyNumberFormat="1" applyFont="1" applyFill="1" applyProtection="1">
      <protection hidden="1"/>
    </xf>
    <xf numFmtId="0" fontId="0" fillId="2" borderId="0" xfId="0" applyFill="1" applyProtection="1">
      <protection hidden="1"/>
    </xf>
    <xf numFmtId="0" fontId="66" fillId="2" borderId="0" xfId="0" applyFont="1" applyFill="1" applyAlignment="1" applyProtection="1">
      <alignment horizontal="right"/>
      <protection hidden="1"/>
    </xf>
    <xf numFmtId="2" fontId="59" fillId="2" borderId="0" xfId="0" applyNumberFormat="1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59" fillId="2" borderId="0" xfId="0" applyFont="1" applyFill="1" applyAlignment="1" applyProtection="1">
      <alignment horizontal="left"/>
      <protection hidden="1"/>
    </xf>
    <xf numFmtId="2" fontId="60" fillId="2" borderId="0" xfId="0" applyNumberFormat="1" applyFont="1" applyFill="1" applyAlignment="1" applyProtection="1">
      <alignment horizontal="left"/>
      <protection hidden="1"/>
    </xf>
    <xf numFmtId="0" fontId="62" fillId="2" borderId="0" xfId="0" applyFont="1" applyFill="1" applyProtection="1">
      <protection hidden="1"/>
    </xf>
    <xf numFmtId="0" fontId="68" fillId="2" borderId="0" xfId="0" applyFont="1" applyFill="1" applyProtection="1">
      <protection hidden="1"/>
    </xf>
    <xf numFmtId="0" fontId="59" fillId="0" borderId="0" xfId="0" applyFont="1" applyFill="1" applyAlignment="1" applyProtection="1">
      <alignment horizontal="center"/>
      <protection hidden="1"/>
    </xf>
    <xf numFmtId="0" fontId="60" fillId="4" borderId="2" xfId="0" applyFont="1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68" fillId="4" borderId="3" xfId="0" applyFont="1" applyFill="1" applyBorder="1" applyAlignment="1" applyProtection="1">
      <alignment horizontal="right"/>
      <protection hidden="1"/>
    </xf>
    <xf numFmtId="0" fontId="68" fillId="4" borderId="3" xfId="0" applyFont="1" applyFill="1" applyBorder="1" applyAlignment="1" applyProtection="1">
      <alignment horizontal="center"/>
      <protection hidden="1"/>
    </xf>
    <xf numFmtId="0" fontId="68" fillId="4" borderId="3" xfId="0" applyFont="1" applyFill="1" applyBorder="1" applyProtection="1">
      <protection hidden="1"/>
    </xf>
    <xf numFmtId="0" fontId="59" fillId="4" borderId="3" xfId="0" applyFont="1" applyFill="1" applyBorder="1" applyProtection="1">
      <protection hidden="1"/>
    </xf>
    <xf numFmtId="0" fontId="59" fillId="4" borderId="4" xfId="0" applyFont="1" applyFill="1" applyBorder="1" applyAlignment="1" applyProtection="1">
      <alignment horizontal="right"/>
      <protection hidden="1"/>
    </xf>
    <xf numFmtId="0" fontId="59" fillId="4" borderId="5" xfId="0" applyFont="1" applyFill="1" applyBorder="1" applyProtection="1">
      <protection hidden="1"/>
    </xf>
    <xf numFmtId="0" fontId="59" fillId="4" borderId="0" xfId="0" applyFont="1" applyFill="1" applyBorder="1" applyProtection="1">
      <protection hidden="1"/>
    </xf>
    <xf numFmtId="0" fontId="59" fillId="4" borderId="0" xfId="0" applyFont="1" applyFill="1" applyBorder="1" applyAlignment="1" applyProtection="1">
      <alignment horizontal="right"/>
      <protection hidden="1"/>
    </xf>
    <xf numFmtId="0" fontId="59" fillId="4" borderId="0" xfId="0" applyFont="1" applyFill="1" applyBorder="1" applyAlignment="1" applyProtection="1">
      <alignment horizontal="center"/>
      <protection hidden="1"/>
    </xf>
    <xf numFmtId="164" fontId="59" fillId="4" borderId="0" xfId="0" applyNumberFormat="1" applyFont="1" applyFill="1" applyBorder="1" applyAlignment="1" applyProtection="1">
      <alignment horizontal="center"/>
      <protection hidden="1"/>
    </xf>
    <xf numFmtId="0" fontId="66" fillId="4" borderId="6" xfId="0" applyFont="1" applyFill="1" applyBorder="1" applyAlignment="1" applyProtection="1">
      <alignment horizontal="right"/>
      <protection hidden="1"/>
    </xf>
    <xf numFmtId="0" fontId="59" fillId="4" borderId="7" xfId="0" applyFont="1" applyFill="1" applyBorder="1" applyProtection="1">
      <protection hidden="1"/>
    </xf>
    <xf numFmtId="0" fontId="59" fillId="4" borderId="8" xfId="0" applyFont="1" applyFill="1" applyBorder="1" applyProtection="1">
      <protection hidden="1"/>
    </xf>
    <xf numFmtId="0" fontId="60" fillId="4" borderId="8" xfId="0" applyFont="1" applyFill="1" applyBorder="1" applyAlignment="1" applyProtection="1">
      <alignment horizontal="center"/>
      <protection hidden="1"/>
    </xf>
    <xf numFmtId="0" fontId="59" fillId="4" borderId="9" xfId="0" applyFont="1" applyFill="1" applyBorder="1" applyAlignment="1" applyProtection="1">
      <alignment horizontal="right"/>
      <protection hidden="1"/>
    </xf>
    <xf numFmtId="0" fontId="60" fillId="2" borderId="0" xfId="0" applyFont="1" applyFill="1" applyProtection="1">
      <protection hidden="1"/>
    </xf>
    <xf numFmtId="0" fontId="60" fillId="2" borderId="0" xfId="0" applyFont="1" applyFill="1" applyAlignment="1" applyProtection="1">
      <alignment horizontal="right"/>
      <protection hidden="1"/>
    </xf>
    <xf numFmtId="0" fontId="60" fillId="2" borderId="0" xfId="0" applyFont="1" applyFill="1" applyAlignment="1" applyProtection="1">
      <alignment horizontal="center"/>
      <protection hidden="1"/>
    </xf>
    <xf numFmtId="0" fontId="59" fillId="3" borderId="0" xfId="0" applyFont="1" applyFill="1" applyAlignment="1" applyProtection="1">
      <alignment horizontal="center"/>
      <protection hidden="1"/>
    </xf>
    <xf numFmtId="0" fontId="61" fillId="0" borderId="0" xfId="0" applyFont="1" applyAlignment="1" applyProtection="1">
      <alignment horizontal="left"/>
      <protection hidden="1"/>
    </xf>
    <xf numFmtId="166" fontId="69" fillId="3" borderId="0" xfId="0" applyNumberFormat="1" applyFont="1" applyFill="1" applyAlignment="1" applyProtection="1">
      <alignment horizontal="center"/>
      <protection hidden="1"/>
    </xf>
    <xf numFmtId="166" fontId="69" fillId="2" borderId="0" xfId="0" applyNumberFormat="1" applyFont="1" applyFill="1" applyAlignment="1" applyProtection="1">
      <alignment horizontal="center"/>
      <protection hidden="1"/>
    </xf>
    <xf numFmtId="0" fontId="70" fillId="2" borderId="0" xfId="0" applyFont="1" applyFill="1" applyAlignment="1" applyProtection="1">
      <alignment horizontal="right"/>
      <protection hidden="1"/>
    </xf>
    <xf numFmtId="0" fontId="70" fillId="2" borderId="0" xfId="0" applyFont="1" applyFill="1" applyAlignment="1" applyProtection="1">
      <alignment horizontal="left"/>
      <protection hidden="1"/>
    </xf>
    <xf numFmtId="168" fontId="59" fillId="2" borderId="0" xfId="0" applyNumberFormat="1" applyFont="1" applyFill="1" applyAlignment="1" applyProtection="1">
      <alignment horizontal="center"/>
      <protection hidden="1"/>
    </xf>
    <xf numFmtId="1" fontId="59" fillId="3" borderId="0" xfId="0" applyNumberFormat="1" applyFont="1" applyFill="1" applyAlignment="1" applyProtection="1">
      <alignment horizontal="center"/>
      <protection hidden="1"/>
    </xf>
    <xf numFmtId="0" fontId="45" fillId="2" borderId="0" xfId="0" applyFont="1" applyFill="1" applyProtection="1">
      <protection hidden="1"/>
    </xf>
    <xf numFmtId="0" fontId="61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5" fontId="59" fillId="2" borderId="0" xfId="0" applyNumberFormat="1" applyFont="1" applyFill="1" applyAlignment="1" applyProtection="1">
      <alignment horizontal="center"/>
      <protection hidden="1"/>
    </xf>
    <xf numFmtId="0" fontId="69" fillId="2" borderId="0" xfId="0" applyFont="1" applyFill="1" applyProtection="1">
      <protection hidden="1"/>
    </xf>
    <xf numFmtId="0" fontId="60" fillId="2" borderId="0" xfId="0" applyFont="1" applyFill="1" applyAlignment="1" applyProtection="1">
      <alignment horizontal="left"/>
      <protection hidden="1"/>
    </xf>
    <xf numFmtId="0" fontId="59" fillId="2" borderId="0" xfId="0" applyFont="1" applyFill="1" applyBorder="1" applyProtection="1">
      <protection hidden="1"/>
    </xf>
    <xf numFmtId="0" fontId="71" fillId="2" borderId="0" xfId="0" applyFont="1" applyFill="1" applyProtection="1">
      <protection hidden="1"/>
    </xf>
    <xf numFmtId="164" fontId="60" fillId="2" borderId="0" xfId="0" applyNumberFormat="1" applyFont="1" applyFill="1" applyAlignment="1" applyProtection="1">
      <alignment horizontal="center"/>
      <protection hidden="1"/>
    </xf>
    <xf numFmtId="0" fontId="63" fillId="4" borderId="1" xfId="0" applyFont="1" applyFill="1" applyBorder="1" applyProtection="1">
      <protection hidden="1"/>
    </xf>
    <xf numFmtId="0" fontId="59" fillId="4" borderId="1" xfId="0" applyFont="1" applyFill="1" applyBorder="1" applyProtection="1">
      <protection hidden="1"/>
    </xf>
    <xf numFmtId="164" fontId="60" fillId="0" borderId="0" xfId="0" applyNumberFormat="1" applyFont="1" applyFill="1" applyAlignment="1" applyProtection="1">
      <alignment horizontal="center"/>
      <protection hidden="1"/>
    </xf>
    <xf numFmtId="2" fontId="59" fillId="0" borderId="0" xfId="0" applyNumberFormat="1" applyFont="1" applyFill="1" applyAlignment="1" applyProtection="1">
      <alignment horizontal="center"/>
      <protection hidden="1"/>
    </xf>
    <xf numFmtId="2" fontId="60" fillId="2" borderId="0" xfId="0" applyNumberFormat="1" applyFont="1" applyFill="1" applyAlignment="1" applyProtection="1">
      <alignment horizontal="center"/>
      <protection hidden="1"/>
    </xf>
    <xf numFmtId="0" fontId="18" fillId="2" borderId="0" xfId="0" applyFont="1" applyFill="1" applyAlignment="1" applyProtection="1">
      <alignment horizontal="right"/>
      <protection hidden="1"/>
    </xf>
    <xf numFmtId="0" fontId="61" fillId="0" borderId="0" xfId="0" applyFont="1" applyProtection="1">
      <protection hidden="1"/>
    </xf>
    <xf numFmtId="1" fontId="60" fillId="3" borderId="0" xfId="0" applyNumberFormat="1" applyFont="1" applyFill="1" applyAlignment="1" applyProtection="1">
      <alignment horizontal="center"/>
      <protection hidden="1"/>
    </xf>
    <xf numFmtId="164" fontId="60" fillId="3" borderId="0" xfId="0" applyNumberFormat="1" applyFont="1" applyFill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right"/>
      <protection hidden="1"/>
    </xf>
    <xf numFmtId="0" fontId="16" fillId="2" borderId="0" xfId="0" applyFont="1" applyFill="1" applyAlignment="1" applyProtection="1">
      <alignment horizontal="left"/>
      <protection hidden="1"/>
    </xf>
    <xf numFmtId="11" fontId="59" fillId="3" borderId="0" xfId="0" applyNumberFormat="1" applyFont="1" applyFill="1" applyAlignment="1" applyProtection="1">
      <alignment horizontal="center"/>
      <protection hidden="1"/>
    </xf>
    <xf numFmtId="11" fontId="59" fillId="2" borderId="0" xfId="0" applyNumberFormat="1" applyFont="1" applyFill="1" applyAlignment="1" applyProtection="1">
      <alignment horizontal="center"/>
      <protection hidden="1"/>
    </xf>
    <xf numFmtId="0" fontId="59" fillId="2" borderId="0" xfId="0" applyNumberFormat="1" applyFont="1" applyFill="1" applyAlignment="1" applyProtection="1">
      <alignment horizontal="center"/>
      <protection hidden="1"/>
    </xf>
    <xf numFmtId="0" fontId="73" fillId="4" borderId="2" xfId="0" applyFont="1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47" fillId="4" borderId="0" xfId="0" applyFont="1" applyFill="1" applyBorder="1" applyAlignment="1" applyProtection="1">
      <alignment horizontal="right"/>
      <protection hidden="1"/>
    </xf>
    <xf numFmtId="0" fontId="68" fillId="4" borderId="0" xfId="0" applyFont="1" applyFill="1" applyBorder="1" applyAlignment="1" applyProtection="1">
      <alignment horizontal="center"/>
      <protection hidden="1"/>
    </xf>
    <xf numFmtId="164" fontId="68" fillId="4" borderId="0" xfId="0" applyNumberFormat="1" applyFont="1" applyFill="1" applyBorder="1" applyAlignment="1" applyProtection="1">
      <alignment horizontal="center"/>
      <protection hidden="1"/>
    </xf>
    <xf numFmtId="0" fontId="68" fillId="4" borderId="0" xfId="0" applyFont="1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59" fillId="4" borderId="6" xfId="0" applyFont="1" applyFill="1" applyBorder="1" applyAlignment="1" applyProtection="1">
      <alignment horizontal="right"/>
      <protection hidden="1"/>
    </xf>
    <xf numFmtId="0" fontId="1" fillId="4" borderId="0" xfId="0" applyFont="1" applyFill="1" applyBorder="1" applyAlignment="1" applyProtection="1">
      <alignment horizontal="right"/>
      <protection hidden="1"/>
    </xf>
    <xf numFmtId="0" fontId="63" fillId="4" borderId="13" xfId="0" applyFont="1" applyFill="1" applyBorder="1" applyProtection="1">
      <protection hidden="1"/>
    </xf>
    <xf numFmtId="0" fontId="0" fillId="4" borderId="13" xfId="0" applyFill="1" applyBorder="1" applyProtection="1">
      <protection hidden="1"/>
    </xf>
    <xf numFmtId="0" fontId="60" fillId="4" borderId="3" xfId="0" applyFont="1" applyFill="1" applyBorder="1" applyAlignment="1" applyProtection="1">
      <alignment horizontal="right"/>
      <protection hidden="1"/>
    </xf>
    <xf numFmtId="0" fontId="60" fillId="4" borderId="3" xfId="0" applyFont="1" applyFill="1" applyBorder="1" applyAlignment="1" applyProtection="1">
      <alignment horizontal="center"/>
      <protection hidden="1"/>
    </xf>
    <xf numFmtId="2" fontId="60" fillId="4" borderId="3" xfId="0" applyNumberFormat="1" applyFont="1" applyFill="1" applyBorder="1" applyAlignment="1" applyProtection="1">
      <alignment horizontal="center"/>
      <protection hidden="1"/>
    </xf>
    <xf numFmtId="0" fontId="60" fillId="4" borderId="3" xfId="0" applyFont="1" applyFill="1" applyBorder="1" applyProtection="1">
      <protection hidden="1"/>
    </xf>
    <xf numFmtId="0" fontId="59" fillId="4" borderId="4" xfId="0" applyFont="1" applyFill="1" applyBorder="1" applyProtection="1">
      <protection hidden="1"/>
    </xf>
    <xf numFmtId="0" fontId="60" fillId="4" borderId="5" xfId="0" applyFont="1" applyFill="1" applyBorder="1" applyProtection="1">
      <protection hidden="1"/>
    </xf>
    <xf numFmtId="0" fontId="60" fillId="4" borderId="0" xfId="0" applyFont="1" applyFill="1" applyBorder="1" applyAlignment="1" applyProtection="1">
      <alignment horizontal="right"/>
      <protection hidden="1"/>
    </xf>
    <xf numFmtId="0" fontId="60" fillId="4" borderId="0" xfId="0" applyFont="1" applyFill="1" applyBorder="1" applyAlignment="1" applyProtection="1">
      <alignment horizontal="center"/>
      <protection hidden="1"/>
    </xf>
    <xf numFmtId="2" fontId="60" fillId="4" borderId="0" xfId="0" applyNumberFormat="1" applyFont="1" applyFill="1" applyBorder="1" applyAlignment="1" applyProtection="1">
      <alignment horizontal="center"/>
      <protection hidden="1"/>
    </xf>
    <xf numFmtId="0" fontId="60" fillId="4" borderId="0" xfId="0" applyFont="1" applyFill="1" applyBorder="1" applyProtection="1">
      <protection hidden="1"/>
    </xf>
    <xf numFmtId="0" fontId="59" fillId="4" borderId="6" xfId="0" applyFont="1" applyFill="1" applyBorder="1" applyProtection="1">
      <protection hidden="1"/>
    </xf>
    <xf numFmtId="0" fontId="67" fillId="4" borderId="5" xfId="0" applyFont="1" applyFill="1" applyBorder="1" applyProtection="1">
      <protection hidden="1"/>
    </xf>
    <xf numFmtId="0" fontId="61" fillId="4" borderId="0" xfId="0" applyFont="1" applyFill="1" applyBorder="1" applyAlignment="1" applyProtection="1">
      <alignment horizontal="center"/>
      <protection hidden="1"/>
    </xf>
    <xf numFmtId="0" fontId="59" fillId="4" borderId="0" xfId="0" applyFont="1" applyFill="1" applyBorder="1" applyAlignment="1" applyProtection="1">
      <alignment horizontal="left"/>
      <protection hidden="1"/>
    </xf>
    <xf numFmtId="0" fontId="67" fillId="4" borderId="7" xfId="0" applyFont="1" applyFill="1" applyBorder="1" applyProtection="1">
      <protection hidden="1"/>
    </xf>
    <xf numFmtId="0" fontId="60" fillId="4" borderId="8" xfId="0" applyFont="1" applyFill="1" applyBorder="1" applyProtection="1">
      <protection hidden="1"/>
    </xf>
    <xf numFmtId="0" fontId="61" fillId="4" borderId="8" xfId="0" applyFont="1" applyFill="1" applyBorder="1" applyAlignment="1" applyProtection="1">
      <alignment horizontal="center"/>
      <protection hidden="1"/>
    </xf>
    <xf numFmtId="0" fontId="59" fillId="4" borderId="8" xfId="0" applyFont="1" applyFill="1" applyBorder="1" applyAlignment="1" applyProtection="1">
      <alignment horizontal="left"/>
      <protection hidden="1"/>
    </xf>
    <xf numFmtId="0" fontId="61" fillId="2" borderId="0" xfId="0" applyFont="1" applyFill="1" applyAlignment="1" applyProtection="1">
      <alignment horizontal="center"/>
      <protection hidden="1"/>
    </xf>
    <xf numFmtId="0" fontId="59" fillId="2" borderId="1" xfId="0" applyFont="1" applyFill="1" applyBorder="1" applyAlignment="1" applyProtection="1">
      <alignment horizontal="right"/>
      <protection hidden="1"/>
    </xf>
    <xf numFmtId="0" fontId="59" fillId="2" borderId="1" xfId="0" applyFont="1" applyFill="1" applyBorder="1" applyAlignment="1" applyProtection="1">
      <alignment horizontal="center"/>
      <protection hidden="1"/>
    </xf>
    <xf numFmtId="2" fontId="59" fillId="2" borderId="1" xfId="0" applyNumberFormat="1" applyFont="1" applyFill="1" applyBorder="1" applyAlignment="1" applyProtection="1">
      <alignment horizontal="center"/>
      <protection hidden="1"/>
    </xf>
    <xf numFmtId="0" fontId="59" fillId="4" borderId="13" xfId="0" applyFont="1" applyFill="1" applyBorder="1" applyProtection="1">
      <protection hidden="1"/>
    </xf>
    <xf numFmtId="0" fontId="60" fillId="2" borderId="0" xfId="0" applyFont="1" applyFill="1" applyBorder="1" applyProtection="1">
      <protection hidden="1"/>
    </xf>
    <xf numFmtId="1" fontId="59" fillId="2" borderId="0" xfId="0" applyNumberFormat="1" applyFont="1" applyFill="1" applyAlignment="1" applyProtection="1">
      <alignment horizontal="center"/>
      <protection hidden="1"/>
    </xf>
    <xf numFmtId="11" fontId="59" fillId="2" borderId="0" xfId="0" applyNumberFormat="1" applyFont="1" applyFill="1" applyProtection="1">
      <protection hidden="1"/>
    </xf>
    <xf numFmtId="167" fontId="59" fillId="2" borderId="0" xfId="0" applyNumberFormat="1" applyFont="1" applyFill="1" applyAlignment="1" applyProtection="1">
      <alignment horizontal="center"/>
      <protection hidden="1"/>
    </xf>
    <xf numFmtId="0" fontId="69" fillId="2" borderId="0" xfId="0" applyFont="1" applyFill="1" applyAlignment="1" applyProtection="1">
      <alignment wrapText="1"/>
      <protection hidden="1"/>
    </xf>
    <xf numFmtId="0" fontId="66" fillId="0" borderId="0" xfId="0" applyFont="1" applyFill="1" applyAlignment="1" applyProtection="1">
      <alignment horizontal="right"/>
      <protection hidden="1"/>
    </xf>
    <xf numFmtId="2" fontId="60" fillId="0" borderId="0" xfId="0" applyNumberFormat="1" applyFont="1" applyFill="1" applyAlignment="1" applyProtection="1">
      <alignment horizontal="center"/>
      <protection hidden="1"/>
    </xf>
    <xf numFmtId="0" fontId="46" fillId="4" borderId="3" xfId="0" applyFont="1" applyFill="1" applyBorder="1" applyAlignment="1" applyProtection="1">
      <alignment horizontal="right"/>
      <protection hidden="1"/>
    </xf>
    <xf numFmtId="0" fontId="63" fillId="4" borderId="3" xfId="0" applyFont="1" applyFill="1" applyBorder="1" applyAlignment="1" applyProtection="1">
      <alignment horizontal="center"/>
      <protection hidden="1"/>
    </xf>
    <xf numFmtId="164" fontId="68" fillId="4" borderId="3" xfId="0" applyNumberFormat="1" applyFont="1" applyFill="1" applyBorder="1" applyAlignment="1" applyProtection="1">
      <alignment horizontal="center"/>
      <protection hidden="1"/>
    </xf>
    <xf numFmtId="0" fontId="0" fillId="4" borderId="7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0" fillId="4" borderId="8" xfId="0" applyFont="1" applyFill="1" applyBorder="1" applyProtection="1">
      <protection hidden="1"/>
    </xf>
    <xf numFmtId="0" fontId="60" fillId="4" borderId="8" xfId="0" applyFont="1" applyFill="1" applyBorder="1" applyAlignment="1" applyProtection="1">
      <alignment horizontal="right"/>
      <protection hidden="1"/>
    </xf>
    <xf numFmtId="164" fontId="60" fillId="4" borderId="8" xfId="0" applyNumberFormat="1" applyFont="1" applyFill="1" applyBorder="1" applyAlignment="1" applyProtection="1">
      <alignment horizontal="center"/>
      <protection hidden="1"/>
    </xf>
    <xf numFmtId="0" fontId="66" fillId="4" borderId="9" xfId="0" applyFont="1" applyFill="1" applyBorder="1" applyAlignment="1" applyProtection="1">
      <alignment horizontal="right"/>
      <protection hidden="1"/>
    </xf>
    <xf numFmtId="0" fontId="76" fillId="2" borderId="0" xfId="0" applyFont="1" applyFill="1" applyProtection="1">
      <protection hidden="1"/>
    </xf>
    <xf numFmtId="2" fontId="68" fillId="4" borderId="3" xfId="0" applyNumberFormat="1" applyFont="1" applyFill="1" applyBorder="1" applyAlignment="1" applyProtection="1">
      <alignment horizontal="center"/>
      <protection hidden="1"/>
    </xf>
    <xf numFmtId="0" fontId="18" fillId="4" borderId="3" xfId="0" applyFont="1" applyFill="1" applyBorder="1" applyAlignment="1" applyProtection="1">
      <alignment horizontal="right"/>
      <protection hidden="1"/>
    </xf>
    <xf numFmtId="0" fontId="18" fillId="4" borderId="0" xfId="0" applyFont="1" applyFill="1" applyBorder="1" applyAlignment="1" applyProtection="1">
      <alignment horizontal="right"/>
      <protection hidden="1"/>
    </xf>
    <xf numFmtId="0" fontId="1" fillId="4" borderId="0" xfId="0" applyFont="1" applyFill="1" applyBorder="1" applyAlignment="1" applyProtection="1">
      <alignment horizontal="left"/>
      <protection hidden="1"/>
    </xf>
    <xf numFmtId="0" fontId="1" fillId="4" borderId="8" xfId="0" applyFont="1" applyFill="1" applyBorder="1" applyAlignment="1" applyProtection="1">
      <alignment horizontal="left"/>
      <protection hidden="1"/>
    </xf>
    <xf numFmtId="0" fontId="77" fillId="4" borderId="13" xfId="0" applyFont="1" applyFill="1" applyBorder="1" applyProtection="1">
      <protection hidden="1"/>
    </xf>
    <xf numFmtId="0" fontId="60" fillId="2" borderId="0" xfId="0" applyFont="1" applyFill="1" applyAlignment="1" applyProtection="1">
      <alignment vertical="justify"/>
      <protection hidden="1"/>
    </xf>
    <xf numFmtId="0" fontId="59" fillId="2" borderId="0" xfId="0" applyFont="1" applyFill="1" applyAlignment="1" applyProtection="1">
      <alignment vertical="justify"/>
      <protection hidden="1"/>
    </xf>
    <xf numFmtId="0" fontId="1" fillId="2" borderId="0" xfId="0" applyFont="1" applyFill="1" applyBorder="1" applyAlignment="1" applyProtection="1">
      <alignment horizontal="right"/>
      <protection hidden="1"/>
    </xf>
    <xf numFmtId="0" fontId="59" fillId="2" borderId="0" xfId="0" applyFont="1" applyFill="1" applyBorder="1" applyAlignment="1" applyProtection="1">
      <alignment horizontal="center"/>
      <protection hidden="1"/>
    </xf>
    <xf numFmtId="164" fontId="59" fillId="2" borderId="0" xfId="0" applyNumberFormat="1" applyFont="1" applyFill="1" applyBorder="1" applyAlignment="1" applyProtection="1">
      <alignment horizontal="center"/>
      <protection hidden="1"/>
    </xf>
    <xf numFmtId="0" fontId="59" fillId="2" borderId="0" xfId="0" applyFont="1" applyFill="1" applyBorder="1" applyAlignment="1" applyProtection="1">
      <alignment vertical="justify"/>
      <protection hidden="1"/>
    </xf>
    <xf numFmtId="169" fontId="69" fillId="2" borderId="0" xfId="0" applyNumberFormat="1" applyFont="1" applyFill="1" applyAlignment="1" applyProtection="1">
      <alignment horizontal="center"/>
      <protection hidden="1"/>
    </xf>
    <xf numFmtId="0" fontId="73" fillId="2" borderId="0" xfId="0" applyFont="1" applyFill="1" applyProtection="1">
      <protection hidden="1"/>
    </xf>
    <xf numFmtId="0" fontId="60" fillId="4" borderId="7" xfId="0" applyFont="1" applyFill="1" applyBorder="1" applyProtection="1">
      <protection hidden="1"/>
    </xf>
    <xf numFmtId="0" fontId="59" fillId="0" borderId="0" xfId="0" applyFont="1" applyAlignment="1" applyProtection="1">
      <alignment horizontal="center"/>
      <protection hidden="1"/>
    </xf>
    <xf numFmtId="0" fontId="60" fillId="0" borderId="0" xfId="0" applyFont="1" applyAlignment="1" applyProtection="1">
      <alignment horizontal="center"/>
      <protection hidden="1"/>
    </xf>
    <xf numFmtId="0" fontId="59" fillId="4" borderId="2" xfId="0" applyFont="1" applyFill="1" applyBorder="1" applyAlignment="1" applyProtection="1">
      <alignment horizontal="right"/>
      <protection hidden="1"/>
    </xf>
    <xf numFmtId="0" fontId="78" fillId="4" borderId="3" xfId="0" applyFont="1" applyFill="1" applyBorder="1" applyAlignment="1" applyProtection="1">
      <alignment horizontal="right"/>
      <protection hidden="1"/>
    </xf>
    <xf numFmtId="164" fontId="60" fillId="4" borderId="3" xfId="0" applyNumberFormat="1" applyFont="1" applyFill="1" applyBorder="1" applyAlignment="1" applyProtection="1">
      <alignment horizontal="center"/>
      <protection hidden="1"/>
    </xf>
    <xf numFmtId="0" fontId="59" fillId="4" borderId="3" xfId="0" applyFont="1" applyFill="1" applyBorder="1" applyAlignment="1" applyProtection="1">
      <alignment horizontal="right"/>
      <protection hidden="1"/>
    </xf>
    <xf numFmtId="164" fontId="59" fillId="4" borderId="3" xfId="0" applyNumberFormat="1" applyFont="1" applyFill="1" applyBorder="1" applyAlignment="1" applyProtection="1">
      <alignment horizontal="center"/>
      <protection hidden="1"/>
    </xf>
    <xf numFmtId="0" fontId="59" fillId="4" borderId="3" xfId="0" applyFont="1" applyFill="1" applyBorder="1" applyAlignment="1" applyProtection="1">
      <alignment horizontal="center"/>
      <protection hidden="1"/>
    </xf>
    <xf numFmtId="165" fontId="59" fillId="0" borderId="0" xfId="0" applyNumberFormat="1" applyFont="1" applyAlignment="1" applyProtection="1">
      <alignment horizontal="center"/>
      <protection hidden="1"/>
    </xf>
    <xf numFmtId="0" fontId="59" fillId="4" borderId="5" xfId="0" applyFont="1" applyFill="1" applyBorder="1" applyAlignment="1" applyProtection="1">
      <alignment horizontal="right"/>
      <protection hidden="1"/>
    </xf>
    <xf numFmtId="0" fontId="78" fillId="4" borderId="0" xfId="0" applyFont="1" applyFill="1" applyBorder="1" applyAlignment="1" applyProtection="1">
      <alignment horizontal="right"/>
      <protection hidden="1"/>
    </xf>
    <xf numFmtId="164" fontId="60" fillId="4" borderId="0" xfId="0" applyNumberFormat="1" applyFont="1" applyFill="1" applyBorder="1" applyAlignment="1" applyProtection="1">
      <alignment horizontal="center"/>
      <protection hidden="1"/>
    </xf>
    <xf numFmtId="2" fontId="59" fillId="4" borderId="0" xfId="0" applyNumberFormat="1" applyFont="1" applyFill="1" applyBorder="1" applyAlignment="1" applyProtection="1">
      <alignment horizontal="center"/>
      <protection hidden="1"/>
    </xf>
    <xf numFmtId="0" fontId="59" fillId="4" borderId="7" xfId="0" applyFont="1" applyFill="1" applyBorder="1" applyAlignment="1" applyProtection="1">
      <alignment horizontal="right"/>
      <protection hidden="1"/>
    </xf>
    <xf numFmtId="0" fontId="78" fillId="4" borderId="8" xfId="0" applyFont="1" applyFill="1" applyBorder="1" applyAlignment="1" applyProtection="1">
      <alignment horizontal="right"/>
      <protection hidden="1"/>
    </xf>
    <xf numFmtId="2" fontId="60" fillId="4" borderId="8" xfId="0" applyNumberFormat="1" applyFont="1" applyFill="1" applyBorder="1" applyAlignment="1" applyProtection="1">
      <alignment horizontal="center"/>
      <protection hidden="1"/>
    </xf>
    <xf numFmtId="0" fontId="59" fillId="4" borderId="8" xfId="0" applyFont="1" applyFill="1" applyBorder="1" applyAlignment="1" applyProtection="1">
      <alignment horizontal="right"/>
      <protection hidden="1"/>
    </xf>
    <xf numFmtId="164" fontId="59" fillId="4" borderId="8" xfId="0" applyNumberFormat="1" applyFont="1" applyFill="1" applyBorder="1" applyAlignment="1" applyProtection="1">
      <alignment horizontal="center"/>
      <protection hidden="1"/>
    </xf>
    <xf numFmtId="2" fontId="59" fillId="4" borderId="8" xfId="0" applyNumberFormat="1" applyFont="1" applyFill="1" applyBorder="1" applyAlignment="1" applyProtection="1">
      <alignment horizontal="center"/>
      <protection hidden="1"/>
    </xf>
    <xf numFmtId="0" fontId="59" fillId="4" borderId="9" xfId="0" applyFont="1" applyFill="1" applyBorder="1" applyProtection="1">
      <protection hidden="1"/>
    </xf>
    <xf numFmtId="0" fontId="63" fillId="6" borderId="13" xfId="0" applyFont="1" applyFill="1" applyBorder="1" applyProtection="1">
      <protection hidden="1"/>
    </xf>
    <xf numFmtId="0" fontId="59" fillId="6" borderId="13" xfId="0" applyFont="1" applyFill="1" applyBorder="1" applyProtection="1">
      <protection hidden="1"/>
    </xf>
    <xf numFmtId="0" fontId="59" fillId="7" borderId="0" xfId="0" applyFont="1" applyFill="1" applyProtection="1">
      <protection hidden="1"/>
    </xf>
    <xf numFmtId="0" fontId="60" fillId="7" borderId="1" xfId="0" applyFont="1" applyFill="1" applyBorder="1" applyProtection="1">
      <protection hidden="1"/>
    </xf>
    <xf numFmtId="0" fontId="59" fillId="7" borderId="1" xfId="0" applyFont="1" applyFill="1" applyBorder="1" applyProtection="1">
      <protection hidden="1"/>
    </xf>
    <xf numFmtId="0" fontId="60" fillId="7" borderId="0" xfId="0" applyFont="1" applyFill="1" applyProtection="1">
      <protection hidden="1"/>
    </xf>
    <xf numFmtId="0" fontId="59" fillId="7" borderId="0" xfId="0" applyFont="1" applyFill="1" applyAlignment="1" applyProtection="1">
      <alignment horizontal="right"/>
      <protection hidden="1"/>
    </xf>
    <xf numFmtId="0" fontId="59" fillId="7" borderId="0" xfId="0" applyFont="1" applyFill="1" applyAlignment="1" applyProtection="1">
      <alignment horizontal="center"/>
      <protection hidden="1"/>
    </xf>
    <xf numFmtId="2" fontId="59" fillId="7" borderId="0" xfId="0" applyNumberFormat="1" applyFont="1" applyFill="1" applyAlignment="1" applyProtection="1">
      <alignment horizontal="center"/>
      <protection hidden="1"/>
    </xf>
    <xf numFmtId="0" fontId="59" fillId="7" borderId="0" xfId="0" applyFont="1" applyFill="1" applyAlignment="1" applyProtection="1">
      <alignment horizontal="left"/>
      <protection hidden="1"/>
    </xf>
    <xf numFmtId="0" fontId="1" fillId="7" borderId="0" xfId="0" applyFont="1" applyFill="1" applyAlignment="1" applyProtection="1">
      <alignment horizontal="right"/>
      <protection hidden="1"/>
    </xf>
    <xf numFmtId="0" fontId="59" fillId="7" borderId="0" xfId="0" applyFont="1" applyFill="1" applyAlignment="1" applyProtection="1">
      <alignment vertical="justify"/>
      <protection hidden="1"/>
    </xf>
    <xf numFmtId="0" fontId="66" fillId="7" borderId="0" xfId="0" applyFont="1" applyFill="1" applyAlignment="1" applyProtection="1">
      <alignment horizontal="right"/>
      <protection hidden="1"/>
    </xf>
    <xf numFmtId="164" fontId="59" fillId="7" borderId="0" xfId="0" applyNumberFormat="1" applyFont="1" applyFill="1" applyAlignment="1" applyProtection="1">
      <alignment horizontal="center"/>
      <protection hidden="1"/>
    </xf>
    <xf numFmtId="0" fontId="0" fillId="7" borderId="0" xfId="0" applyFill="1" applyProtection="1">
      <protection hidden="1"/>
    </xf>
    <xf numFmtId="165" fontId="59" fillId="7" borderId="0" xfId="0" applyNumberFormat="1" applyFont="1" applyFill="1" applyAlignment="1" applyProtection="1">
      <alignment horizontal="center"/>
      <protection hidden="1"/>
    </xf>
    <xf numFmtId="0" fontId="60" fillId="7" borderId="0" xfId="0" applyFont="1" applyFill="1" applyAlignment="1" applyProtection="1">
      <alignment horizontal="right"/>
      <protection hidden="1"/>
    </xf>
    <xf numFmtId="0" fontId="60" fillId="7" borderId="0" xfId="0" applyFont="1" applyFill="1" applyAlignment="1" applyProtection="1">
      <alignment horizontal="center"/>
      <protection hidden="1"/>
    </xf>
    <xf numFmtId="164" fontId="60" fillId="7" borderId="0" xfId="0" applyNumberFormat="1" applyFont="1" applyFill="1" applyAlignment="1" applyProtection="1">
      <alignment horizontal="center"/>
      <protection hidden="1"/>
    </xf>
    <xf numFmtId="0" fontId="67" fillId="7" borderId="0" xfId="0" applyFont="1" applyFill="1" applyProtection="1">
      <protection hidden="1"/>
    </xf>
    <xf numFmtId="0" fontId="70" fillId="7" borderId="0" xfId="0" applyFont="1" applyFill="1" applyAlignment="1" applyProtection="1">
      <alignment horizontal="right"/>
      <protection hidden="1"/>
    </xf>
    <xf numFmtId="0" fontId="1" fillId="7" borderId="0" xfId="0" applyFont="1" applyFill="1" applyAlignment="1" applyProtection="1">
      <alignment horizontal="left"/>
      <protection hidden="1"/>
    </xf>
    <xf numFmtId="0" fontId="69" fillId="7" borderId="0" xfId="0" applyFont="1" applyFill="1" applyProtection="1">
      <protection hidden="1"/>
    </xf>
    <xf numFmtId="0" fontId="0" fillId="7" borderId="0" xfId="0" applyFill="1" applyAlignment="1" applyProtection="1">
      <alignment horizontal="center"/>
      <protection hidden="1"/>
    </xf>
    <xf numFmtId="0" fontId="60" fillId="6" borderId="2" xfId="0" applyFont="1" applyFill="1" applyBorder="1" applyProtection="1">
      <protection hidden="1"/>
    </xf>
    <xf numFmtId="0" fontId="60" fillId="6" borderId="3" xfId="0" applyFont="1" applyFill="1" applyBorder="1" applyProtection="1">
      <protection hidden="1"/>
    </xf>
    <xf numFmtId="0" fontId="60" fillId="6" borderId="3" xfId="0" applyFont="1" applyFill="1" applyBorder="1" applyAlignment="1" applyProtection="1">
      <alignment horizontal="right"/>
      <protection hidden="1"/>
    </xf>
    <xf numFmtId="0" fontId="60" fillId="6" borderId="3" xfId="0" applyFont="1" applyFill="1" applyBorder="1" applyAlignment="1" applyProtection="1">
      <alignment horizontal="center"/>
      <protection hidden="1"/>
    </xf>
    <xf numFmtId="2" fontId="60" fillId="6" borderId="3" xfId="0" applyNumberFormat="1" applyFont="1" applyFill="1" applyBorder="1" applyAlignment="1" applyProtection="1">
      <alignment horizontal="center"/>
      <protection hidden="1"/>
    </xf>
    <xf numFmtId="0" fontId="59" fillId="6" borderId="3" xfId="0" applyFont="1" applyFill="1" applyBorder="1" applyProtection="1">
      <protection hidden="1"/>
    </xf>
    <xf numFmtId="0" fontId="59" fillId="6" borderId="4" xfId="0" applyFont="1" applyFill="1" applyBorder="1" applyProtection="1">
      <protection hidden="1"/>
    </xf>
    <xf numFmtId="0" fontId="60" fillId="6" borderId="5" xfId="0" applyFont="1" applyFill="1" applyBorder="1" applyProtection="1">
      <protection hidden="1"/>
    </xf>
    <xf numFmtId="0" fontId="60" fillId="6" borderId="0" xfId="0" applyFont="1" applyFill="1" applyBorder="1" applyProtection="1">
      <protection hidden="1"/>
    </xf>
    <xf numFmtId="0" fontId="60" fillId="6" borderId="0" xfId="0" applyFont="1" applyFill="1" applyBorder="1" applyAlignment="1" applyProtection="1">
      <alignment horizontal="right"/>
      <protection hidden="1"/>
    </xf>
    <xf numFmtId="0" fontId="58" fillId="6" borderId="0" xfId="0" applyFont="1" applyFill="1" applyBorder="1" applyAlignment="1" applyProtection="1">
      <alignment horizontal="center"/>
      <protection hidden="1"/>
    </xf>
    <xf numFmtId="0" fontId="60" fillId="6" borderId="0" xfId="0" applyFont="1" applyFill="1" applyBorder="1" applyAlignment="1" applyProtection="1">
      <alignment horizontal="left"/>
      <protection hidden="1"/>
    </xf>
    <xf numFmtId="164" fontId="60" fillId="6" borderId="0" xfId="0" applyNumberFormat="1" applyFont="1" applyFill="1" applyBorder="1" applyAlignment="1" applyProtection="1">
      <alignment horizontal="center"/>
      <protection hidden="1"/>
    </xf>
    <xf numFmtId="0" fontId="59" fillId="6" borderId="0" xfId="0" applyFont="1" applyFill="1" applyBorder="1" applyProtection="1">
      <protection hidden="1"/>
    </xf>
    <xf numFmtId="0" fontId="59" fillId="6" borderId="6" xfId="0" applyFont="1" applyFill="1" applyBorder="1" applyProtection="1">
      <protection hidden="1"/>
    </xf>
    <xf numFmtId="0" fontId="59" fillId="6" borderId="7" xfId="0" applyFont="1" applyFill="1" applyBorder="1" applyProtection="1">
      <protection hidden="1"/>
    </xf>
    <xf numFmtId="0" fontId="59" fillId="6" borderId="8" xfId="0" applyFont="1" applyFill="1" applyBorder="1" applyProtection="1">
      <protection hidden="1"/>
    </xf>
    <xf numFmtId="0" fontId="60" fillId="6" borderId="8" xfId="0" applyFont="1" applyFill="1" applyBorder="1" applyProtection="1">
      <protection hidden="1"/>
    </xf>
    <xf numFmtId="0" fontId="59" fillId="6" borderId="9" xfId="0" applyFont="1" applyFill="1" applyBorder="1" applyProtection="1">
      <protection hidden="1"/>
    </xf>
    <xf numFmtId="0" fontId="72" fillId="7" borderId="0" xfId="0" applyFont="1" applyFill="1" applyProtection="1">
      <protection hidden="1"/>
    </xf>
    <xf numFmtId="166" fontId="69" fillId="7" borderId="0" xfId="0" applyNumberFormat="1" applyFont="1" applyFill="1" applyAlignment="1" applyProtection="1">
      <alignment horizontal="center"/>
      <protection hidden="1"/>
    </xf>
    <xf numFmtId="168" fontId="59" fillId="7" borderId="0" xfId="0" applyNumberFormat="1" applyFont="1" applyFill="1" applyAlignment="1" applyProtection="1">
      <alignment horizontal="center"/>
      <protection hidden="1"/>
    </xf>
    <xf numFmtId="0" fontId="70" fillId="7" borderId="0" xfId="0" applyFont="1" applyFill="1" applyAlignment="1" applyProtection="1">
      <alignment horizontal="left" vertical="top"/>
      <protection hidden="1"/>
    </xf>
    <xf numFmtId="164" fontId="60" fillId="6" borderId="3" xfId="0" applyNumberFormat="1" applyFont="1" applyFill="1" applyBorder="1" applyAlignment="1" applyProtection="1">
      <alignment horizontal="center"/>
      <protection hidden="1"/>
    </xf>
    <xf numFmtId="0" fontId="59" fillId="6" borderId="5" xfId="0" applyFont="1" applyFill="1" applyBorder="1" applyProtection="1">
      <protection hidden="1"/>
    </xf>
    <xf numFmtId="164" fontId="68" fillId="0" borderId="3" xfId="0" applyNumberFormat="1" applyFont="1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 wrapText="1"/>
      <protection hidden="1"/>
    </xf>
    <xf numFmtId="0" fontId="79" fillId="7" borderId="0" xfId="0" applyFont="1" applyFill="1" applyAlignment="1" applyProtection="1">
      <alignment wrapText="1"/>
      <protection hidden="1"/>
    </xf>
    <xf numFmtId="0" fontId="76" fillId="2" borderId="0" xfId="0" applyFont="1" applyFill="1" applyAlignment="1" applyProtection="1">
      <alignment wrapText="1"/>
      <protection hidden="1"/>
    </xf>
    <xf numFmtId="0" fontId="69" fillId="2" borderId="0" xfId="0" applyFont="1" applyFill="1" applyAlignment="1" applyProtection="1">
      <alignment wrapText="1"/>
      <protection hidden="1"/>
    </xf>
    <xf numFmtId="0" fontId="76" fillId="4" borderId="6" xfId="0" applyFont="1" applyFill="1" applyBorder="1" applyAlignment="1" applyProtection="1">
      <alignment horizontal="right"/>
      <protection hidden="1"/>
    </xf>
    <xf numFmtId="0" fontId="76" fillId="4" borderId="9" xfId="0" applyFont="1" applyFill="1" applyBorder="1" applyAlignment="1" applyProtection="1">
      <alignment horizontal="right"/>
      <protection hidden="1"/>
    </xf>
  </cellXfs>
  <cellStyles count="2">
    <cellStyle name="Normal" xfId="0" builtinId="0"/>
    <cellStyle name="normální_hodnoty EC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26" Type="http://schemas.openxmlformats.org/officeDocument/2006/relationships/image" Target="../media/image27.emf"/><Relationship Id="rId39" Type="http://schemas.openxmlformats.org/officeDocument/2006/relationships/image" Target="../media/image40.emf"/><Relationship Id="rId3" Type="http://schemas.openxmlformats.org/officeDocument/2006/relationships/image" Target="../media/image4.emf"/><Relationship Id="rId21" Type="http://schemas.openxmlformats.org/officeDocument/2006/relationships/image" Target="../media/image22.emf"/><Relationship Id="rId34" Type="http://schemas.openxmlformats.org/officeDocument/2006/relationships/image" Target="../media/image35.emf"/><Relationship Id="rId42" Type="http://schemas.openxmlformats.org/officeDocument/2006/relationships/image" Target="../media/image43.emf"/><Relationship Id="rId7" Type="http://schemas.openxmlformats.org/officeDocument/2006/relationships/image" Target="../media/image8.emf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5" Type="http://schemas.openxmlformats.org/officeDocument/2006/relationships/image" Target="../media/image26.emf"/><Relationship Id="rId33" Type="http://schemas.openxmlformats.org/officeDocument/2006/relationships/image" Target="../media/image34.emf"/><Relationship Id="rId38" Type="http://schemas.openxmlformats.org/officeDocument/2006/relationships/image" Target="../media/image39.e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20" Type="http://schemas.openxmlformats.org/officeDocument/2006/relationships/image" Target="../media/image21.emf"/><Relationship Id="rId29" Type="http://schemas.openxmlformats.org/officeDocument/2006/relationships/image" Target="../media/image30.emf"/><Relationship Id="rId41" Type="http://schemas.openxmlformats.org/officeDocument/2006/relationships/image" Target="../media/image42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11" Type="http://schemas.openxmlformats.org/officeDocument/2006/relationships/image" Target="../media/image12.emf"/><Relationship Id="rId24" Type="http://schemas.openxmlformats.org/officeDocument/2006/relationships/image" Target="../media/image25.emf"/><Relationship Id="rId32" Type="http://schemas.openxmlformats.org/officeDocument/2006/relationships/image" Target="../media/image33.emf"/><Relationship Id="rId37" Type="http://schemas.openxmlformats.org/officeDocument/2006/relationships/image" Target="../media/image38.emf"/><Relationship Id="rId40" Type="http://schemas.openxmlformats.org/officeDocument/2006/relationships/image" Target="../media/image41.emf"/><Relationship Id="rId5" Type="http://schemas.openxmlformats.org/officeDocument/2006/relationships/image" Target="../media/image6.emf"/><Relationship Id="rId15" Type="http://schemas.openxmlformats.org/officeDocument/2006/relationships/image" Target="../media/image16.emf"/><Relationship Id="rId23" Type="http://schemas.openxmlformats.org/officeDocument/2006/relationships/image" Target="../media/image24.emf"/><Relationship Id="rId28" Type="http://schemas.openxmlformats.org/officeDocument/2006/relationships/image" Target="../media/image29.emf"/><Relationship Id="rId36" Type="http://schemas.openxmlformats.org/officeDocument/2006/relationships/image" Target="../media/image37.emf"/><Relationship Id="rId10" Type="http://schemas.openxmlformats.org/officeDocument/2006/relationships/image" Target="../media/image11.emf"/><Relationship Id="rId19" Type="http://schemas.openxmlformats.org/officeDocument/2006/relationships/image" Target="../media/image20.emf"/><Relationship Id="rId31" Type="http://schemas.openxmlformats.org/officeDocument/2006/relationships/image" Target="../media/image32.emf"/><Relationship Id="rId44" Type="http://schemas.openxmlformats.org/officeDocument/2006/relationships/image" Target="../media/image45.emf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4" Type="http://schemas.openxmlformats.org/officeDocument/2006/relationships/image" Target="../media/image15.emf"/><Relationship Id="rId22" Type="http://schemas.openxmlformats.org/officeDocument/2006/relationships/image" Target="../media/image23.emf"/><Relationship Id="rId27" Type="http://schemas.openxmlformats.org/officeDocument/2006/relationships/image" Target="../media/image28.emf"/><Relationship Id="rId30" Type="http://schemas.openxmlformats.org/officeDocument/2006/relationships/image" Target="../media/image31.emf"/><Relationship Id="rId35" Type="http://schemas.openxmlformats.org/officeDocument/2006/relationships/image" Target="../media/image36.emf"/><Relationship Id="rId43" Type="http://schemas.openxmlformats.org/officeDocument/2006/relationships/image" Target="../media/image4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12</xdr:row>
      <xdr:rowOff>57150</xdr:rowOff>
    </xdr:from>
    <xdr:to>
      <xdr:col>11</xdr:col>
      <xdr:colOff>47625</xdr:colOff>
      <xdr:row>29</xdr:row>
      <xdr:rowOff>66675</xdr:rowOff>
    </xdr:to>
    <xdr:pic>
      <xdr:nvPicPr>
        <xdr:cNvPr id="1373" name="Picture 1" descr="Průře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1926"/>
        <a:stretch>
          <a:fillRect/>
        </a:stretch>
      </xdr:blipFill>
      <xdr:spPr bwMode="auto">
        <a:xfrm>
          <a:off x="5353050" y="1504950"/>
          <a:ext cx="1809750" cy="38671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63" Type="http://schemas.openxmlformats.org/officeDocument/2006/relationships/oleObject" Target="../embeddings/oleObject59.bin"/><Relationship Id="rId7" Type="http://schemas.openxmlformats.org/officeDocument/2006/relationships/oleObject" Target="../embeddings/oleObject3.bin"/><Relationship Id="rId2" Type="http://schemas.openxmlformats.org/officeDocument/2006/relationships/printerSettings" Target="../printerSettings/printerSettings2.bin"/><Relationship Id="rId16" Type="http://schemas.openxmlformats.org/officeDocument/2006/relationships/oleObject" Target="../embeddings/oleObject12.bin"/><Relationship Id="rId20" Type="http://schemas.openxmlformats.org/officeDocument/2006/relationships/oleObject" Target="../embeddings/oleObject16.bin"/><Relationship Id="rId29" Type="http://schemas.openxmlformats.org/officeDocument/2006/relationships/oleObject" Target="../embeddings/oleObject25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62" Type="http://schemas.openxmlformats.org/officeDocument/2006/relationships/oleObject" Target="../embeddings/oleObject58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8" Type="http://schemas.openxmlformats.org/officeDocument/2006/relationships/oleObject" Target="../embeddings/oleObject54.bin"/><Relationship Id="rId5" Type="http://schemas.openxmlformats.org/officeDocument/2006/relationships/oleObject" Target="../embeddings/oleObject1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Relationship Id="rId57" Type="http://schemas.openxmlformats.org/officeDocument/2006/relationships/oleObject" Target="../embeddings/oleObject53.bin"/><Relationship Id="rId61" Type="http://schemas.openxmlformats.org/officeDocument/2006/relationships/oleObject" Target="../embeddings/oleObject57.bin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60" Type="http://schemas.openxmlformats.org/officeDocument/2006/relationships/oleObject" Target="../embeddings/oleObject56.bin"/><Relationship Id="rId4" Type="http://schemas.openxmlformats.org/officeDocument/2006/relationships/vmlDrawing" Target="../drawings/vmlDrawing1.vml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56" Type="http://schemas.openxmlformats.org/officeDocument/2006/relationships/oleObject" Target="../embeddings/oleObject52.bin"/><Relationship Id="rId64" Type="http://schemas.openxmlformats.org/officeDocument/2006/relationships/comments" Target="../comments1.xml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drawing" Target="../drawings/drawing1.x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59" Type="http://schemas.openxmlformats.org/officeDocument/2006/relationships/oleObject" Target="../embeddings/oleObject5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61"/>
  <sheetViews>
    <sheetView tabSelected="1" view="pageBreakPreview" topLeftCell="A49" zoomScaleNormal="100" zoomScaleSheetLayoutView="100" workbookViewId="0">
      <selection activeCell="G62" sqref="G62"/>
    </sheetView>
  </sheetViews>
  <sheetFormatPr defaultRowHeight="15"/>
  <cols>
    <col min="1" max="1" width="5" style="19" customWidth="1"/>
    <col min="2" max="2" width="5.7109375" style="19" customWidth="1"/>
    <col min="3" max="3" width="14.28515625" style="19" customWidth="1"/>
    <col min="4" max="4" width="23.5703125" style="19" customWidth="1"/>
    <col min="5" max="5" width="5.5703125" style="19" customWidth="1"/>
    <col min="6" max="6" width="2.85546875" style="19" customWidth="1"/>
    <col min="7" max="7" width="8.5703125" style="19" customWidth="1"/>
    <col min="8" max="8" width="9.140625" style="19"/>
    <col min="9" max="9" width="9.140625" style="19" customWidth="1"/>
    <col min="10" max="10" width="10" style="19" customWidth="1"/>
    <col min="11" max="11" width="12.85546875" style="19" customWidth="1"/>
    <col min="12" max="12" width="14.28515625" style="19" customWidth="1"/>
    <col min="13" max="13" width="28" style="19" hidden="1" customWidth="1"/>
    <col min="14" max="14" width="9.42578125" style="19" hidden="1" customWidth="1"/>
    <col min="15" max="18" width="9.140625" style="19" hidden="1" customWidth="1"/>
    <col min="19" max="16384" width="9.140625" style="19"/>
  </cols>
  <sheetData>
    <row r="1" spans="1:19" ht="23.25">
      <c r="G1" s="20" t="s">
        <v>972</v>
      </c>
    </row>
    <row r="2" spans="1:19">
      <c r="G2" s="21" t="s">
        <v>974</v>
      </c>
    </row>
    <row r="3" spans="1:19" ht="30.75" customHeight="1">
      <c r="A3" s="242" t="s">
        <v>976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</row>
    <row r="4" spans="1:19" ht="23.25">
      <c r="G4" s="22" t="s">
        <v>973</v>
      </c>
    </row>
    <row r="5" spans="1:19" ht="15.75" thickBot="1">
      <c r="G5" s="23" t="s">
        <v>975</v>
      </c>
    </row>
    <row r="6" spans="1:19" ht="24" thickBot="1">
      <c r="A6" s="24" t="s">
        <v>897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6"/>
    </row>
    <row r="7" spans="1:19" ht="15" customHeight="1">
      <c r="A7" s="27" t="s">
        <v>898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30"/>
      <c r="O7" s="30"/>
      <c r="P7" s="30"/>
      <c r="Q7" s="30"/>
      <c r="R7" s="30"/>
      <c r="S7" s="30"/>
    </row>
    <row r="8" spans="1:19" ht="7.5" customHeight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30"/>
      <c r="O8" s="30"/>
      <c r="P8" s="30"/>
      <c r="Q8" s="30"/>
      <c r="R8" s="30"/>
      <c r="S8" s="30"/>
    </row>
    <row r="9" spans="1:19" ht="16.5">
      <c r="A9" s="31" t="s">
        <v>1</v>
      </c>
      <c r="B9" s="32"/>
      <c r="C9" s="32"/>
      <c r="D9" s="32"/>
      <c r="E9" s="32"/>
      <c r="F9" s="32"/>
      <c r="G9" s="32"/>
      <c r="H9" s="32"/>
      <c r="I9" s="28"/>
      <c r="J9" s="28"/>
      <c r="K9" s="28"/>
      <c r="L9" s="28"/>
      <c r="M9" s="29"/>
      <c r="N9" s="30"/>
      <c r="O9" s="30"/>
      <c r="P9" s="30"/>
      <c r="Q9" s="30"/>
      <c r="R9" s="30"/>
      <c r="S9" s="30"/>
    </row>
    <row r="10" spans="1:19" ht="18">
      <c r="A10" s="28"/>
      <c r="B10" s="28" t="s">
        <v>121</v>
      </c>
      <c r="C10" s="28"/>
      <c r="D10" s="28"/>
      <c r="E10" s="33" t="s">
        <v>251</v>
      </c>
      <c r="F10" s="34" t="s">
        <v>67</v>
      </c>
      <c r="G10" s="35">
        <v>96</v>
      </c>
      <c r="H10" s="28" t="s">
        <v>98</v>
      </c>
      <c r="I10" s="28"/>
      <c r="J10" s="28"/>
      <c r="K10" s="28"/>
      <c r="L10" s="28"/>
      <c r="M10" s="29"/>
      <c r="N10" s="30"/>
      <c r="O10" s="30"/>
      <c r="P10" s="30"/>
      <c r="Q10" s="30"/>
      <c r="R10" s="30"/>
      <c r="S10" s="30"/>
    </row>
    <row r="11" spans="1:19" ht="16.5">
      <c r="A11" s="28"/>
      <c r="B11" s="28" t="s">
        <v>125</v>
      </c>
      <c r="C11" s="28"/>
      <c r="D11" s="28"/>
      <c r="E11" s="33" t="s">
        <v>129</v>
      </c>
      <c r="F11" s="34" t="s">
        <v>67</v>
      </c>
      <c r="G11" s="36">
        <v>0.4</v>
      </c>
      <c r="H11" s="28" t="s">
        <v>98</v>
      </c>
      <c r="I11" s="28"/>
      <c r="J11" s="28"/>
      <c r="K11" s="28"/>
      <c r="L11" s="28"/>
      <c r="M11" s="29"/>
      <c r="N11" s="30"/>
      <c r="O11" s="30"/>
      <c r="P11" s="30"/>
      <c r="Q11" s="30"/>
      <c r="R11" s="30"/>
      <c r="S11" s="30"/>
    </row>
    <row r="12" spans="1:19" ht="16.5">
      <c r="A12" s="28"/>
      <c r="B12" s="28" t="s">
        <v>458</v>
      </c>
      <c r="C12" s="28"/>
      <c r="D12" s="28"/>
      <c r="E12" s="33" t="s">
        <v>769</v>
      </c>
      <c r="F12" s="34" t="s">
        <v>67</v>
      </c>
      <c r="G12" s="36">
        <v>1.2</v>
      </c>
      <c r="H12" s="28" t="s">
        <v>98</v>
      </c>
      <c r="I12" s="28"/>
      <c r="J12" s="28"/>
      <c r="K12" s="28"/>
      <c r="L12" s="28"/>
      <c r="M12" s="29"/>
      <c r="N12" s="30"/>
      <c r="O12" s="30"/>
      <c r="P12" s="30"/>
      <c r="Q12" s="30"/>
      <c r="R12" s="30"/>
      <c r="S12" s="30"/>
    </row>
    <row r="13" spans="1:19" ht="18">
      <c r="A13" s="28"/>
      <c r="B13" s="28" t="s">
        <v>146</v>
      </c>
      <c r="C13" s="28"/>
      <c r="D13" s="28"/>
      <c r="E13" s="33" t="s">
        <v>363</v>
      </c>
      <c r="F13" s="34" t="s">
        <v>67</v>
      </c>
      <c r="G13" s="35">
        <v>18</v>
      </c>
      <c r="H13" s="28" t="s">
        <v>98</v>
      </c>
      <c r="I13" s="28"/>
      <c r="J13" s="28"/>
      <c r="K13" s="28"/>
      <c r="L13" s="28"/>
      <c r="M13" s="29"/>
      <c r="N13" s="30"/>
      <c r="O13" s="30"/>
      <c r="P13" s="30"/>
      <c r="Q13" s="30"/>
      <c r="R13" s="30"/>
      <c r="S13" s="30"/>
    </row>
    <row r="14" spans="1:19" ht="16.5">
      <c r="A14" s="28"/>
      <c r="B14" s="28" t="s">
        <v>360</v>
      </c>
      <c r="C14" s="28"/>
      <c r="D14" s="28"/>
      <c r="E14" s="33" t="s">
        <v>361</v>
      </c>
      <c r="F14" s="34" t="s">
        <v>67</v>
      </c>
      <c r="G14" s="35">
        <v>0.2</v>
      </c>
      <c r="H14" s="28" t="s">
        <v>98</v>
      </c>
      <c r="I14" s="28"/>
      <c r="J14" s="28"/>
      <c r="K14" s="28"/>
      <c r="L14" s="28"/>
      <c r="M14" s="29"/>
      <c r="N14" s="30"/>
      <c r="O14" s="30"/>
      <c r="P14" s="30"/>
      <c r="Q14" s="30"/>
      <c r="R14" s="30"/>
      <c r="S14" s="30"/>
    </row>
    <row r="15" spans="1:19" ht="16.5">
      <c r="A15" s="28"/>
      <c r="B15" s="28" t="s">
        <v>362</v>
      </c>
      <c r="C15" s="28"/>
      <c r="D15" s="28"/>
      <c r="E15" s="33" t="s">
        <v>147</v>
      </c>
      <c r="F15" s="34" t="s">
        <v>67</v>
      </c>
      <c r="G15" s="37">
        <f>G13-G14</f>
        <v>17.8</v>
      </c>
      <c r="H15" s="28" t="s">
        <v>98</v>
      </c>
      <c r="I15" s="28"/>
      <c r="J15" s="28"/>
      <c r="K15" s="28"/>
      <c r="L15" s="28"/>
      <c r="M15" s="29"/>
      <c r="N15" s="30"/>
      <c r="O15" s="30"/>
      <c r="P15" s="30"/>
      <c r="Q15" s="30"/>
      <c r="R15" s="30"/>
      <c r="S15" s="30"/>
    </row>
    <row r="16" spans="1:19" ht="16.5">
      <c r="A16" s="28"/>
      <c r="B16" s="38" t="s">
        <v>157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9" t="s">
        <v>55</v>
      </c>
      <c r="N16" s="30"/>
      <c r="O16" s="30"/>
      <c r="P16" s="30"/>
      <c r="Q16" s="30"/>
      <c r="R16" s="30"/>
      <c r="S16" s="30"/>
    </row>
    <row r="17" spans="1:19" ht="18.75">
      <c r="A17" s="28"/>
      <c r="B17" s="28"/>
      <c r="C17" s="28" t="s">
        <v>164</v>
      </c>
      <c r="D17" s="28"/>
      <c r="E17" s="33" t="s">
        <v>169</v>
      </c>
      <c r="F17" s="34" t="s">
        <v>67</v>
      </c>
      <c r="G17" s="39">
        <f>VLOOKUP(N17,Hodnoty!A28:D32,3,TRUE)</f>
        <v>12.5</v>
      </c>
      <c r="H17" s="28" t="s">
        <v>80</v>
      </c>
      <c r="I17" s="28"/>
      <c r="J17" s="28"/>
      <c r="K17" s="28"/>
      <c r="L17" s="28"/>
      <c r="M17" s="29" t="s">
        <v>171</v>
      </c>
      <c r="N17" s="30">
        <v>2</v>
      </c>
      <c r="O17" s="30"/>
      <c r="P17" s="30"/>
      <c r="Q17" s="30"/>
      <c r="R17" s="30"/>
      <c r="S17" s="30"/>
    </row>
    <row r="18" spans="1:19" ht="18">
      <c r="A18" s="28"/>
      <c r="B18" s="28"/>
      <c r="C18" s="28" t="s">
        <v>165</v>
      </c>
      <c r="D18" s="28"/>
      <c r="E18" s="33" t="s">
        <v>170</v>
      </c>
      <c r="F18" s="34" t="s">
        <v>67</v>
      </c>
      <c r="G18" s="40">
        <v>11</v>
      </c>
      <c r="H18" s="28" t="s">
        <v>100</v>
      </c>
      <c r="I18" s="28"/>
      <c r="J18" s="28"/>
      <c r="K18" s="28"/>
      <c r="L18" s="28"/>
      <c r="M18" s="29"/>
      <c r="N18" s="30"/>
      <c r="O18" s="30"/>
      <c r="P18" s="30"/>
      <c r="Q18" s="30"/>
      <c r="R18" s="30"/>
      <c r="S18" s="30"/>
    </row>
    <row r="19" spans="1:19" ht="18.75">
      <c r="A19" s="28"/>
      <c r="B19" s="28"/>
      <c r="C19" s="28" t="s">
        <v>166</v>
      </c>
      <c r="D19" s="28"/>
      <c r="E19" s="41" t="s">
        <v>168</v>
      </c>
      <c r="F19" s="34" t="s">
        <v>67</v>
      </c>
      <c r="G19" s="37">
        <f>VLOOKUP(N17,Hodnoty!A28:D32,4,TRUE)</f>
        <v>93</v>
      </c>
      <c r="H19" s="28" t="s">
        <v>99</v>
      </c>
      <c r="I19" s="28"/>
      <c r="J19" s="28"/>
      <c r="K19" s="28"/>
      <c r="L19" s="28"/>
      <c r="M19" s="29"/>
      <c r="N19" s="30"/>
      <c r="O19" s="30"/>
      <c r="P19" s="30"/>
      <c r="Q19" s="30"/>
      <c r="R19" s="30"/>
      <c r="S19" s="30"/>
    </row>
    <row r="20" spans="1:19" ht="18.75">
      <c r="A20" s="28"/>
      <c r="B20" s="28"/>
      <c r="C20" s="28" t="s">
        <v>167</v>
      </c>
      <c r="D20" s="28"/>
      <c r="E20" s="41" t="s">
        <v>182</v>
      </c>
      <c r="F20" s="34" t="s">
        <v>67</v>
      </c>
      <c r="G20" s="34">
        <f>G19*G18</f>
        <v>1023</v>
      </c>
      <c r="H20" s="28" t="s">
        <v>99</v>
      </c>
      <c r="I20" s="28"/>
      <c r="J20" s="28"/>
      <c r="K20" s="28"/>
      <c r="L20" s="28"/>
      <c r="M20" s="29"/>
      <c r="N20" s="30"/>
      <c r="O20" s="30"/>
      <c r="P20" s="30"/>
      <c r="Q20" s="30"/>
      <c r="R20" s="30"/>
      <c r="S20" s="30"/>
    </row>
    <row r="21" spans="1:19" ht="18">
      <c r="A21" s="28"/>
      <c r="B21" s="28"/>
      <c r="C21" s="28" t="s">
        <v>175</v>
      </c>
      <c r="D21" s="28"/>
      <c r="E21" s="33" t="s">
        <v>176</v>
      </c>
      <c r="F21" s="34" t="s">
        <v>67</v>
      </c>
      <c r="G21" s="42">
        <v>35</v>
      </c>
      <c r="H21" s="28" t="s">
        <v>80</v>
      </c>
      <c r="I21" s="28"/>
      <c r="J21" s="28"/>
      <c r="K21" s="28"/>
      <c r="L21" s="28"/>
      <c r="M21" s="29"/>
      <c r="N21" s="30"/>
      <c r="O21" s="30"/>
      <c r="P21" s="30"/>
      <c r="Q21" s="30"/>
      <c r="R21" s="30"/>
      <c r="S21" s="30"/>
    </row>
    <row r="22" spans="1:19" ht="16.5">
      <c r="A22" s="28"/>
      <c r="B22" s="38" t="s">
        <v>158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9"/>
      <c r="N22" s="30"/>
      <c r="O22" s="30"/>
      <c r="P22" s="30"/>
      <c r="Q22" s="30"/>
      <c r="R22" s="30"/>
      <c r="S22" s="30"/>
    </row>
    <row r="23" spans="1:19" ht="18.75">
      <c r="A23" s="28"/>
      <c r="B23" s="28"/>
      <c r="C23" s="28" t="s">
        <v>164</v>
      </c>
      <c r="D23" s="28"/>
      <c r="E23" s="33" t="s">
        <v>173</v>
      </c>
      <c r="F23" s="34" t="s">
        <v>67</v>
      </c>
      <c r="G23" s="39">
        <f>VLOOKUP(N23,Hodnoty!A28:D32,3,TRUE)</f>
        <v>12.5</v>
      </c>
      <c r="H23" s="28" t="s">
        <v>80</v>
      </c>
      <c r="I23" s="28"/>
      <c r="J23" s="28"/>
      <c r="K23" s="28"/>
      <c r="L23" s="28"/>
      <c r="M23" s="29" t="s">
        <v>172</v>
      </c>
      <c r="N23" s="30">
        <v>2</v>
      </c>
      <c r="O23" s="30"/>
      <c r="P23" s="30"/>
      <c r="Q23" s="30"/>
      <c r="R23" s="30"/>
      <c r="S23" s="30"/>
    </row>
    <row r="24" spans="1:19" ht="18">
      <c r="A24" s="28"/>
      <c r="B24" s="28"/>
      <c r="C24" s="28" t="s">
        <v>165</v>
      </c>
      <c r="D24" s="28"/>
      <c r="E24" s="33" t="s">
        <v>127</v>
      </c>
      <c r="F24" s="34" t="s">
        <v>67</v>
      </c>
      <c r="G24" s="40">
        <v>2</v>
      </c>
      <c r="H24" s="28" t="s">
        <v>100</v>
      </c>
      <c r="I24" s="28"/>
      <c r="J24" s="28"/>
      <c r="K24" s="28"/>
      <c r="L24" s="28"/>
      <c r="M24" s="29"/>
      <c r="N24" s="30"/>
      <c r="O24" s="30"/>
      <c r="P24" s="30"/>
      <c r="Q24" s="30"/>
      <c r="R24" s="30"/>
      <c r="S24" s="30"/>
    </row>
    <row r="25" spans="1:19" ht="18.75">
      <c r="A25" s="28"/>
      <c r="B25" s="28"/>
      <c r="C25" s="28" t="s">
        <v>166</v>
      </c>
      <c r="D25" s="28"/>
      <c r="E25" s="41" t="s">
        <v>174</v>
      </c>
      <c r="F25" s="34" t="s">
        <v>67</v>
      </c>
      <c r="G25" s="37">
        <f>VLOOKUP(N23,Hodnoty!A28:D32,4,TRUE)</f>
        <v>93</v>
      </c>
      <c r="H25" s="28" t="s">
        <v>99</v>
      </c>
      <c r="I25" s="28"/>
      <c r="J25" s="28"/>
      <c r="K25" s="28"/>
      <c r="L25" s="28"/>
      <c r="M25" s="29"/>
      <c r="N25" s="30"/>
      <c r="O25" s="30"/>
      <c r="P25" s="30"/>
      <c r="Q25" s="30"/>
      <c r="R25" s="30"/>
      <c r="S25" s="30"/>
    </row>
    <row r="26" spans="1:19" ht="18.75">
      <c r="A26" s="28"/>
      <c r="B26" s="28"/>
      <c r="C26" s="28" t="s">
        <v>167</v>
      </c>
      <c r="D26" s="28"/>
      <c r="E26" s="41" t="s">
        <v>184</v>
      </c>
      <c r="F26" s="34" t="s">
        <v>67</v>
      </c>
      <c r="G26" s="34">
        <f>G25*G24</f>
        <v>186</v>
      </c>
      <c r="H26" s="28" t="s">
        <v>99</v>
      </c>
      <c r="I26" s="28"/>
      <c r="J26" s="28"/>
      <c r="K26" s="28"/>
      <c r="L26" s="28"/>
      <c r="M26" s="29"/>
      <c r="N26" s="30"/>
      <c r="O26" s="30"/>
      <c r="P26" s="30"/>
      <c r="Q26" s="30"/>
      <c r="R26" s="30"/>
      <c r="S26" s="30"/>
    </row>
    <row r="27" spans="1:19" ht="18">
      <c r="A27" s="28"/>
      <c r="B27" s="28"/>
      <c r="C27" s="28" t="s">
        <v>175</v>
      </c>
      <c r="D27" s="28"/>
      <c r="E27" s="33" t="s">
        <v>177</v>
      </c>
      <c r="F27" s="34" t="s">
        <v>67</v>
      </c>
      <c r="G27" s="42">
        <v>75</v>
      </c>
      <c r="H27" s="28" t="s">
        <v>80</v>
      </c>
      <c r="I27" s="28"/>
      <c r="J27" s="28"/>
      <c r="K27" s="28"/>
      <c r="L27" s="28"/>
      <c r="O27" s="30"/>
      <c r="P27" s="30"/>
      <c r="Q27" s="30"/>
      <c r="R27" s="30"/>
      <c r="S27" s="30"/>
    </row>
    <row r="28" spans="1:19" ht="16.5">
      <c r="A28" s="28"/>
      <c r="B28" s="38" t="s">
        <v>159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9"/>
      <c r="N28" s="30"/>
      <c r="O28" s="30"/>
      <c r="P28" s="30"/>
      <c r="Q28" s="30"/>
      <c r="R28" s="30"/>
      <c r="S28" s="30"/>
    </row>
    <row r="29" spans="1:19" ht="18.75">
      <c r="A29" s="28"/>
      <c r="B29" s="28"/>
      <c r="C29" s="28" t="s">
        <v>164</v>
      </c>
      <c r="D29" s="28"/>
      <c r="E29" s="33" t="s">
        <v>173</v>
      </c>
      <c r="F29" s="34" t="s">
        <v>67</v>
      </c>
      <c r="G29" s="39">
        <f>VLOOKUP(N29,Hodnoty!A28:D32,3,TRUE)</f>
        <v>9.3000000000000007</v>
      </c>
      <c r="H29" s="28" t="s">
        <v>80</v>
      </c>
      <c r="I29" s="28"/>
      <c r="J29" s="28"/>
      <c r="K29" s="28"/>
      <c r="L29" s="28"/>
      <c r="M29" s="29" t="s">
        <v>179</v>
      </c>
      <c r="N29" s="30">
        <v>1</v>
      </c>
      <c r="O29" s="30"/>
      <c r="P29" s="30"/>
      <c r="Q29" s="30"/>
      <c r="R29" s="30"/>
      <c r="S29" s="30"/>
    </row>
    <row r="30" spans="1:19" ht="18">
      <c r="A30" s="28"/>
      <c r="B30" s="28"/>
      <c r="C30" s="28" t="s">
        <v>165</v>
      </c>
      <c r="D30" s="28"/>
      <c r="E30" s="33" t="s">
        <v>127</v>
      </c>
      <c r="F30" s="34" t="s">
        <v>67</v>
      </c>
      <c r="G30" s="40">
        <v>3</v>
      </c>
      <c r="H30" s="28" t="s">
        <v>100</v>
      </c>
      <c r="I30" s="28"/>
      <c r="J30" s="28"/>
      <c r="K30" s="28"/>
      <c r="L30" s="28"/>
      <c r="M30" s="29"/>
      <c r="N30" s="30"/>
      <c r="O30" s="30"/>
      <c r="P30" s="30"/>
      <c r="Q30" s="30"/>
      <c r="R30" s="30"/>
      <c r="S30" s="30"/>
    </row>
    <row r="31" spans="1:19" ht="18.75">
      <c r="A31" s="28"/>
      <c r="B31" s="28"/>
      <c r="C31" s="28" t="s">
        <v>166</v>
      </c>
      <c r="D31" s="28"/>
      <c r="E31" s="41" t="s">
        <v>183</v>
      </c>
      <c r="F31" s="34" t="s">
        <v>67</v>
      </c>
      <c r="G31" s="37">
        <f>VLOOKUP(N29,Hodnoty!A28:D32,4,TRUE)</f>
        <v>52</v>
      </c>
      <c r="H31" s="28" t="s">
        <v>99</v>
      </c>
      <c r="I31" s="28"/>
      <c r="J31" s="28"/>
      <c r="K31" s="28"/>
      <c r="L31" s="28"/>
      <c r="M31" s="29"/>
      <c r="N31" s="30"/>
      <c r="O31" s="30"/>
      <c r="P31" s="30"/>
      <c r="Q31" s="30"/>
      <c r="R31" s="30"/>
      <c r="S31" s="30"/>
    </row>
    <row r="32" spans="1:19" ht="18.75">
      <c r="A32" s="28"/>
      <c r="B32" s="28"/>
      <c r="C32" s="28" t="s">
        <v>167</v>
      </c>
      <c r="D32" s="28"/>
      <c r="E32" s="41" t="s">
        <v>185</v>
      </c>
      <c r="F32" s="34" t="s">
        <v>67</v>
      </c>
      <c r="G32" s="34">
        <f>G31*G30</f>
        <v>156</v>
      </c>
      <c r="H32" s="28" t="s">
        <v>99</v>
      </c>
      <c r="I32" s="28"/>
      <c r="J32" s="28"/>
      <c r="K32" s="28"/>
      <c r="L32" s="28"/>
      <c r="M32" s="29"/>
      <c r="N32" s="30"/>
      <c r="O32" s="30"/>
      <c r="P32" s="30"/>
      <c r="Q32" s="30"/>
      <c r="R32" s="30"/>
      <c r="S32" s="30"/>
    </row>
    <row r="33" spans="1:19" ht="18">
      <c r="A33" s="28"/>
      <c r="B33" s="28"/>
      <c r="C33" s="28" t="s">
        <v>175</v>
      </c>
      <c r="D33" s="28"/>
      <c r="E33" s="33" t="s">
        <v>178</v>
      </c>
      <c r="F33" s="34" t="s">
        <v>67</v>
      </c>
      <c r="G33" s="42">
        <v>365</v>
      </c>
      <c r="H33" s="28" t="s">
        <v>80</v>
      </c>
      <c r="I33" s="28"/>
      <c r="J33" s="28"/>
      <c r="K33" s="28"/>
      <c r="L33" s="28"/>
      <c r="M33" s="29"/>
      <c r="N33" s="30"/>
      <c r="O33" s="30"/>
      <c r="P33" s="30"/>
      <c r="Q33" s="30"/>
      <c r="R33" s="30"/>
      <c r="S33" s="30"/>
    </row>
    <row r="34" spans="1:19" ht="7.5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9"/>
      <c r="N34" s="30"/>
      <c r="O34" s="30"/>
      <c r="P34" s="30"/>
      <c r="Q34" s="30"/>
      <c r="R34" s="30"/>
      <c r="S34" s="30"/>
    </row>
    <row r="35" spans="1:19" ht="16.5">
      <c r="A35" s="31" t="s">
        <v>0</v>
      </c>
      <c r="B35" s="32"/>
      <c r="C35" s="32"/>
      <c r="D35" s="32"/>
      <c r="E35" s="32"/>
      <c r="F35" s="32"/>
      <c r="G35" s="32"/>
      <c r="H35" s="32"/>
      <c r="I35" s="28"/>
      <c r="J35" s="28"/>
      <c r="K35" s="28"/>
      <c r="L35" s="28"/>
      <c r="M35" s="29"/>
      <c r="N35" s="30"/>
      <c r="O35" s="30"/>
      <c r="P35" s="30"/>
      <c r="Q35" s="30"/>
      <c r="R35" s="30"/>
      <c r="S35" s="30"/>
    </row>
    <row r="36" spans="1:19" ht="16.5">
      <c r="A36" s="43" t="s">
        <v>2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9"/>
      <c r="N36" s="30"/>
      <c r="O36" s="30"/>
      <c r="P36" s="30"/>
      <c r="Q36" s="30"/>
      <c r="R36" s="30"/>
      <c r="S36" s="30"/>
    </row>
    <row r="37" spans="1:19" ht="20.25">
      <c r="A37" s="28"/>
      <c r="B37" s="28" t="s">
        <v>53</v>
      </c>
      <c r="C37" s="28"/>
      <c r="D37" s="28"/>
      <c r="E37" s="28"/>
      <c r="F37" s="28"/>
      <c r="G37" s="44" t="str">
        <f>VLOOKUP(N37,Hodnoty!A3:O16,2,TRUE)</f>
        <v>C45/55</v>
      </c>
      <c r="H37" s="28"/>
      <c r="I37" s="28"/>
      <c r="J37" s="28"/>
      <c r="K37" s="28"/>
      <c r="L37" s="28"/>
      <c r="M37" s="29" t="s">
        <v>54</v>
      </c>
      <c r="N37" s="30">
        <v>8</v>
      </c>
      <c r="O37" s="30"/>
      <c r="P37" s="30"/>
      <c r="Q37" s="30"/>
      <c r="R37" s="30"/>
      <c r="S37" s="30"/>
    </row>
    <row r="38" spans="1:19" ht="16.5">
      <c r="A38" s="28"/>
      <c r="B38" s="28" t="s">
        <v>56</v>
      </c>
      <c r="C38" s="28"/>
      <c r="D38" s="28"/>
      <c r="E38" s="28"/>
      <c r="F38" s="28"/>
      <c r="G38" s="28" t="str">
        <f>VLOOKUP(N38,Hodnoty!A20:C23,2,TRUE)</f>
        <v>Vápencové kamenivo</v>
      </c>
      <c r="H38" s="28"/>
      <c r="I38" s="28"/>
      <c r="J38" s="28"/>
      <c r="K38" s="28"/>
      <c r="L38" s="28"/>
      <c r="M38" s="29" t="s">
        <v>62</v>
      </c>
      <c r="N38" s="30">
        <v>2</v>
      </c>
      <c r="O38" s="30"/>
      <c r="P38" s="30"/>
      <c r="Q38" s="30"/>
      <c r="R38" s="30"/>
      <c r="S38" s="30"/>
    </row>
    <row r="39" spans="1:19" ht="18">
      <c r="A39" s="28"/>
      <c r="B39" s="28" t="s">
        <v>71</v>
      </c>
      <c r="C39" s="28"/>
      <c r="D39" s="28"/>
      <c r="E39" s="33" t="s">
        <v>79</v>
      </c>
      <c r="F39" s="34" t="s">
        <v>67</v>
      </c>
      <c r="G39" s="37">
        <f>VLOOKUP(N37,Hodnoty!A3:O16,9,TRUE)</f>
        <v>36</v>
      </c>
      <c r="H39" s="28" t="s">
        <v>68</v>
      </c>
      <c r="I39" s="45"/>
      <c r="J39" s="28"/>
      <c r="K39" s="28"/>
      <c r="L39" s="46" t="s">
        <v>72</v>
      </c>
      <c r="M39" s="29"/>
      <c r="N39" s="30"/>
      <c r="O39" s="30"/>
      <c r="P39" s="30"/>
      <c r="Q39" s="30"/>
      <c r="R39" s="30"/>
      <c r="S39" s="30"/>
    </row>
    <row r="40" spans="1:19" ht="16.5">
      <c r="A40" s="28"/>
      <c r="B40" s="28" t="s">
        <v>296</v>
      </c>
      <c r="C40" s="28"/>
      <c r="D40" s="28"/>
      <c r="E40" s="33" t="s">
        <v>272</v>
      </c>
      <c r="F40" s="34" t="s">
        <v>67</v>
      </c>
      <c r="G40" s="37">
        <f>VLOOKUP(N37,Hodnoty!A3:O16,5,TRUE)</f>
        <v>53</v>
      </c>
      <c r="H40" s="28" t="s">
        <v>69</v>
      </c>
      <c r="I40" s="45"/>
      <c r="J40" s="28"/>
      <c r="K40" s="28"/>
      <c r="L40" s="46" t="s">
        <v>73</v>
      </c>
      <c r="M40" s="29"/>
      <c r="N40" s="30"/>
      <c r="O40" s="30"/>
      <c r="P40" s="30"/>
      <c r="Q40" s="30"/>
      <c r="R40" s="30"/>
      <c r="S40" s="30"/>
    </row>
    <row r="41" spans="1:19" ht="16.5">
      <c r="A41" s="28"/>
      <c r="B41" s="28" t="s">
        <v>298</v>
      </c>
      <c r="C41" s="28"/>
      <c r="D41" s="28"/>
      <c r="E41" s="33" t="s">
        <v>297</v>
      </c>
      <c r="F41" s="34" t="s">
        <v>67</v>
      </c>
      <c r="G41" s="47">
        <f>VLOOKUP(N37,Hodnoty!A3:O16,6,TRUE)</f>
        <v>3.8</v>
      </c>
      <c r="H41" s="28" t="s">
        <v>69</v>
      </c>
      <c r="I41" s="45"/>
      <c r="J41" s="28"/>
      <c r="K41" s="28"/>
      <c r="L41" s="46" t="s">
        <v>73</v>
      </c>
      <c r="M41" s="29"/>
      <c r="N41" s="30"/>
      <c r="O41" s="30"/>
      <c r="P41" s="30"/>
      <c r="Q41" s="30"/>
      <c r="R41" s="30"/>
      <c r="S41" s="30"/>
    </row>
    <row r="42" spans="1:19" ht="16.5">
      <c r="A42" s="28"/>
      <c r="B42" s="28" t="s">
        <v>63</v>
      </c>
      <c r="C42" s="28"/>
      <c r="D42" s="28"/>
      <c r="E42" s="33" t="s">
        <v>65</v>
      </c>
      <c r="F42" s="34" t="s">
        <v>67</v>
      </c>
      <c r="G42" s="37">
        <f>VLOOKUP(N37,Hodnoty!A3:O16,3,TRUE)</f>
        <v>45</v>
      </c>
      <c r="H42" s="28" t="s">
        <v>69</v>
      </c>
      <c r="I42" s="45"/>
      <c r="J42" s="28"/>
      <c r="K42" s="28"/>
      <c r="L42" s="46" t="s">
        <v>73</v>
      </c>
      <c r="M42" s="29"/>
      <c r="N42" s="30"/>
      <c r="O42" s="30"/>
      <c r="P42" s="30"/>
      <c r="Q42" s="30"/>
      <c r="R42" s="30"/>
      <c r="S42" s="30"/>
    </row>
    <row r="43" spans="1:19" ht="16.5">
      <c r="A43" s="28"/>
      <c r="B43" s="28" t="s">
        <v>64</v>
      </c>
      <c r="C43" s="28"/>
      <c r="D43" s="28"/>
      <c r="E43" s="33" t="s">
        <v>66</v>
      </c>
      <c r="F43" s="34" t="s">
        <v>67</v>
      </c>
      <c r="G43" s="47">
        <f>VLOOKUP(N37,Hodnoty!A3:O16,7,TRUE)</f>
        <v>2.7</v>
      </c>
      <c r="H43" s="28" t="s">
        <v>69</v>
      </c>
      <c r="I43" s="45"/>
      <c r="J43" s="28"/>
      <c r="K43" s="28"/>
      <c r="L43" s="46" t="s">
        <v>73</v>
      </c>
      <c r="M43" s="29"/>
      <c r="N43" s="30"/>
      <c r="O43" s="30"/>
      <c r="P43" s="30"/>
      <c r="Q43" s="30"/>
      <c r="R43" s="30"/>
      <c r="S43" s="30"/>
    </row>
    <row r="44" spans="1:19" ht="18">
      <c r="A44" s="28"/>
      <c r="B44" s="28" t="s">
        <v>70</v>
      </c>
      <c r="C44" s="28"/>
      <c r="D44" s="28"/>
      <c r="E44" s="33" t="s">
        <v>52</v>
      </c>
      <c r="F44" s="34" t="s">
        <v>67</v>
      </c>
      <c r="G44" s="37">
        <f>VLOOKUP(N38,Hodnoty!A20:C23,3,TRUE)*G39</f>
        <v>32.4</v>
      </c>
      <c r="H44" s="28" t="s">
        <v>68</v>
      </c>
      <c r="I44" s="28"/>
      <c r="J44" s="28"/>
      <c r="K44" s="28"/>
      <c r="L44" s="46" t="s">
        <v>78</v>
      </c>
      <c r="M44" s="29"/>
      <c r="N44" s="30"/>
      <c r="O44" s="30"/>
      <c r="P44" s="30"/>
      <c r="Q44" s="30"/>
      <c r="R44" s="30"/>
    </row>
    <row r="45" spans="1:19" ht="18">
      <c r="A45" s="28"/>
      <c r="B45" s="28" t="s">
        <v>581</v>
      </c>
      <c r="C45" s="28"/>
      <c r="D45" s="28"/>
      <c r="E45" s="48" t="s">
        <v>582</v>
      </c>
      <c r="F45" s="34" t="s">
        <v>67</v>
      </c>
      <c r="G45" s="42">
        <v>1.5</v>
      </c>
      <c r="H45" s="28" t="s">
        <v>199</v>
      </c>
      <c r="I45" s="28"/>
      <c r="J45" s="28"/>
      <c r="K45" s="28"/>
      <c r="L45" s="46"/>
      <c r="M45" s="29"/>
      <c r="N45" s="30"/>
      <c r="O45" s="30"/>
      <c r="P45" s="30"/>
      <c r="Q45" s="30"/>
      <c r="R45" s="30"/>
    </row>
    <row r="46" spans="1:19" ht="18">
      <c r="A46" s="28"/>
      <c r="B46" s="28" t="s">
        <v>74</v>
      </c>
      <c r="C46" s="28"/>
      <c r="D46" s="28"/>
      <c r="E46" s="33" t="s">
        <v>76</v>
      </c>
      <c r="F46" s="34" t="s">
        <v>67</v>
      </c>
      <c r="G46" s="37">
        <f>1*G42/G45</f>
        <v>30</v>
      </c>
      <c r="H46" s="28" t="s">
        <v>69</v>
      </c>
      <c r="I46" s="49" t="s">
        <v>107</v>
      </c>
      <c r="J46" s="28"/>
      <c r="K46" s="28"/>
      <c r="L46" s="46" t="s">
        <v>116</v>
      </c>
      <c r="M46" s="29"/>
      <c r="N46" s="30"/>
      <c r="O46" s="30"/>
      <c r="P46" s="30"/>
      <c r="Q46" s="30"/>
      <c r="R46" s="30"/>
    </row>
    <row r="47" spans="1:19" ht="18">
      <c r="A47" s="28"/>
      <c r="B47" s="28" t="s">
        <v>75</v>
      </c>
      <c r="C47" s="28"/>
      <c r="D47" s="28"/>
      <c r="E47" s="33" t="s">
        <v>77</v>
      </c>
      <c r="F47" s="34" t="s">
        <v>67</v>
      </c>
      <c r="G47" s="47">
        <f>1*G43/G45</f>
        <v>1.8</v>
      </c>
      <c r="H47" s="28" t="s">
        <v>69</v>
      </c>
      <c r="I47" s="49" t="s">
        <v>108</v>
      </c>
      <c r="J47" s="28"/>
      <c r="K47" s="28"/>
      <c r="L47" s="46" t="s">
        <v>117</v>
      </c>
      <c r="M47" s="29"/>
      <c r="N47" s="30"/>
      <c r="O47" s="30"/>
      <c r="P47" s="30"/>
      <c r="Q47" s="30"/>
      <c r="R47" s="30"/>
    </row>
    <row r="48" spans="1:19" ht="16.5">
      <c r="A48" s="28"/>
      <c r="B48" s="28" t="s">
        <v>468</v>
      </c>
      <c r="C48" s="28"/>
      <c r="D48" s="28"/>
      <c r="E48" s="33"/>
      <c r="F48" s="34"/>
      <c r="G48" s="50" t="str">
        <f>VLOOKUP(N48,Hodnoty!A41:E43,2,TRUE)</f>
        <v>R (CEM 42,5R; CEM 52,5N; CEM 52,5R)</v>
      </c>
      <c r="H48" s="28"/>
      <c r="I48" s="49"/>
      <c r="J48" s="28"/>
      <c r="K48" s="28"/>
      <c r="L48" s="46"/>
      <c r="M48" s="29" t="s">
        <v>476</v>
      </c>
      <c r="N48" s="30">
        <v>3</v>
      </c>
      <c r="O48" s="30"/>
      <c r="P48" s="30"/>
      <c r="Q48" s="30"/>
      <c r="R48" s="30"/>
    </row>
    <row r="49" spans="1:22" ht="16.5">
      <c r="A49" s="28"/>
      <c r="B49" s="28" t="s">
        <v>303</v>
      </c>
      <c r="C49" s="28"/>
      <c r="D49" s="28"/>
      <c r="E49" s="48" t="s">
        <v>269</v>
      </c>
      <c r="F49" s="34" t="s">
        <v>67</v>
      </c>
      <c r="G49" s="47">
        <f>VLOOKUP(N48,Hodnoty!A41:E43,3,TRUE)</f>
        <v>0.2</v>
      </c>
      <c r="H49" s="28" t="s">
        <v>199</v>
      </c>
      <c r="I49" s="28"/>
      <c r="J49" s="28"/>
      <c r="K49" s="28"/>
      <c r="L49" s="46" t="s">
        <v>270</v>
      </c>
      <c r="M49" s="29"/>
      <c r="N49" s="30"/>
      <c r="O49" s="30"/>
      <c r="P49" s="30"/>
      <c r="Q49" s="30"/>
      <c r="R49" s="30"/>
    </row>
    <row r="50" spans="1:22" ht="7.5" customHeigh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33"/>
      <c r="M50" s="29"/>
      <c r="N50" s="30"/>
      <c r="O50" s="30"/>
      <c r="P50" s="30"/>
      <c r="Q50" s="30"/>
      <c r="R50" s="30"/>
      <c r="S50" s="30"/>
    </row>
    <row r="51" spans="1:22" ht="16.5">
      <c r="A51" s="43" t="s">
        <v>899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33"/>
      <c r="M51" s="29"/>
      <c r="N51" s="30"/>
      <c r="O51" s="30"/>
      <c r="P51" s="30"/>
      <c r="Q51" s="30"/>
      <c r="R51" s="30"/>
      <c r="S51" s="30"/>
    </row>
    <row r="52" spans="1:22" ht="18.75">
      <c r="A52" s="28"/>
      <c r="B52" s="51" t="s">
        <v>180</v>
      </c>
      <c r="C52" s="45"/>
      <c r="D52" s="45"/>
      <c r="E52" s="45"/>
      <c r="F52" s="45"/>
      <c r="G52" s="52" t="str">
        <f>VLOOKUP(N52,Hodnoty!F20:J21,2,TRUE)</f>
        <v>Y1860S7</v>
      </c>
      <c r="H52" s="45"/>
      <c r="I52" s="28"/>
      <c r="J52" s="28"/>
      <c r="K52" s="28"/>
      <c r="L52" s="33"/>
      <c r="M52" s="29" t="s">
        <v>181</v>
      </c>
      <c r="N52" s="30">
        <v>2</v>
      </c>
      <c r="O52" s="30"/>
      <c r="P52" s="30"/>
      <c r="Q52" s="30"/>
      <c r="R52" s="30"/>
      <c r="S52" s="30"/>
    </row>
    <row r="53" spans="1:22" ht="18">
      <c r="A53" s="28"/>
      <c r="B53" s="28" t="s">
        <v>101</v>
      </c>
      <c r="C53" s="45"/>
      <c r="D53" s="45"/>
      <c r="E53" s="33" t="s">
        <v>102</v>
      </c>
      <c r="F53" s="34" t="s">
        <v>67</v>
      </c>
      <c r="G53" s="34">
        <f>VLOOKUP(N52,Hodnoty!F20:J21,4,TRUE)</f>
        <v>1860</v>
      </c>
      <c r="H53" s="28" t="s">
        <v>69</v>
      </c>
      <c r="I53" s="28"/>
      <c r="J53" s="28"/>
      <c r="K53" s="28"/>
      <c r="L53" s="33"/>
      <c r="M53" s="29"/>
      <c r="N53" s="30"/>
      <c r="O53" s="30"/>
      <c r="P53" s="30"/>
      <c r="S53" s="30"/>
    </row>
    <row r="54" spans="1:22" ht="18">
      <c r="A54" s="28"/>
      <c r="B54" s="28" t="s">
        <v>103</v>
      </c>
      <c r="C54" s="45"/>
      <c r="D54" s="45"/>
      <c r="E54" s="33" t="s">
        <v>104</v>
      </c>
      <c r="F54" s="34" t="s">
        <v>67</v>
      </c>
      <c r="G54" s="34">
        <f>VLOOKUP(N52,Hodnoty!F20:J21,5,TRUE)</f>
        <v>1590</v>
      </c>
      <c r="H54" s="28" t="s">
        <v>69</v>
      </c>
      <c r="I54" s="28"/>
      <c r="J54" s="28"/>
      <c r="K54" s="28"/>
      <c r="L54" s="33"/>
      <c r="M54" s="29"/>
      <c r="N54" s="30"/>
      <c r="O54" s="30"/>
      <c r="P54" s="30"/>
      <c r="Q54" s="30"/>
      <c r="R54" s="30"/>
      <c r="S54" s="30"/>
    </row>
    <row r="55" spans="1:22" ht="18">
      <c r="A55" s="28"/>
      <c r="B55" s="28" t="s">
        <v>581</v>
      </c>
      <c r="C55" s="45"/>
      <c r="D55" s="45"/>
      <c r="E55" s="48" t="s">
        <v>583</v>
      </c>
      <c r="F55" s="34" t="s">
        <v>67</v>
      </c>
      <c r="G55" s="53">
        <v>1.1499999999999999</v>
      </c>
      <c r="H55" s="28" t="s">
        <v>199</v>
      </c>
      <c r="I55" s="28"/>
      <c r="J55" s="28"/>
      <c r="K55" s="28"/>
      <c r="L55" s="33"/>
      <c r="M55" s="29"/>
      <c r="N55" s="30"/>
      <c r="O55" s="30"/>
      <c r="P55" s="30"/>
      <c r="Q55" s="30"/>
      <c r="R55" s="30"/>
      <c r="S55" s="30"/>
    </row>
    <row r="56" spans="1:22" ht="18">
      <c r="A56" s="28"/>
      <c r="B56" s="28" t="s">
        <v>105</v>
      </c>
      <c r="C56" s="28"/>
      <c r="D56" s="28"/>
      <c r="E56" s="33" t="s">
        <v>106</v>
      </c>
      <c r="F56" s="34" t="s">
        <v>67</v>
      </c>
      <c r="G56" s="34">
        <f>G54/G55</f>
        <v>1382.608695652174</v>
      </c>
      <c r="H56" s="28" t="s">
        <v>69</v>
      </c>
      <c r="I56" s="49" t="s">
        <v>118</v>
      </c>
      <c r="J56" s="28"/>
      <c r="K56" s="28" t="s">
        <v>110</v>
      </c>
      <c r="L56" s="46" t="s">
        <v>109</v>
      </c>
      <c r="M56" s="29"/>
      <c r="N56" s="30"/>
      <c r="O56" s="30"/>
      <c r="P56" s="30"/>
      <c r="Q56" s="30"/>
      <c r="R56" s="30"/>
      <c r="S56" s="30"/>
    </row>
    <row r="57" spans="1:22" ht="18">
      <c r="A57" s="28"/>
      <c r="B57" s="28" t="s">
        <v>153</v>
      </c>
      <c r="C57" s="45"/>
      <c r="D57" s="45"/>
      <c r="E57" s="33" t="s">
        <v>154</v>
      </c>
      <c r="F57" s="34" t="s">
        <v>67</v>
      </c>
      <c r="G57" s="37">
        <f>VLOOKUP(N52,Hodnoty!F20:J21,3,TRUE)</f>
        <v>195</v>
      </c>
      <c r="H57" s="28" t="s">
        <v>68</v>
      </c>
      <c r="I57" s="28"/>
      <c r="J57" s="28"/>
      <c r="K57" s="28"/>
      <c r="L57" s="33"/>
      <c r="M57" s="29"/>
      <c r="N57" s="30"/>
      <c r="O57" s="30"/>
      <c r="P57" s="30"/>
      <c r="Q57" s="30"/>
      <c r="R57" s="30"/>
      <c r="S57" s="30"/>
    </row>
    <row r="58" spans="1:22" ht="7.5" customHeight="1">
      <c r="A58" s="28"/>
      <c r="B58" s="28"/>
      <c r="C58" s="45"/>
      <c r="D58" s="45"/>
      <c r="E58" s="33"/>
      <c r="F58" s="34"/>
      <c r="G58" s="45"/>
      <c r="H58" s="45"/>
      <c r="I58" s="28"/>
      <c r="J58" s="28"/>
      <c r="K58" s="28"/>
      <c r="L58" s="33"/>
      <c r="M58" s="29"/>
      <c r="N58" s="30"/>
      <c r="O58" s="30"/>
      <c r="P58" s="30"/>
      <c r="Q58" s="30"/>
      <c r="R58" s="30"/>
      <c r="S58" s="30"/>
      <c r="T58" s="30"/>
      <c r="U58" s="30"/>
      <c r="V58" s="30"/>
    </row>
    <row r="59" spans="1:22" ht="18">
      <c r="A59" s="28"/>
      <c r="B59" s="28" t="s">
        <v>283</v>
      </c>
      <c r="C59" s="45"/>
      <c r="D59" s="45"/>
      <c r="E59" s="33" t="s">
        <v>286</v>
      </c>
      <c r="F59" s="34" t="s">
        <v>67</v>
      </c>
      <c r="G59" s="37">
        <f>MIN(0.8*G53,0.9*G54)</f>
        <v>1431</v>
      </c>
      <c r="H59" s="28" t="s">
        <v>69</v>
      </c>
      <c r="I59" s="28" t="s">
        <v>290</v>
      </c>
      <c r="J59" s="28"/>
      <c r="K59" s="28"/>
      <c r="L59" s="46" t="s">
        <v>112</v>
      </c>
      <c r="M59" s="29"/>
      <c r="N59" s="30"/>
      <c r="O59" s="30"/>
      <c r="P59" s="30"/>
      <c r="Q59" s="30"/>
      <c r="R59" s="30"/>
      <c r="S59" s="30"/>
      <c r="T59" s="30"/>
      <c r="U59" s="30"/>
      <c r="V59" s="30"/>
    </row>
    <row r="60" spans="1:22" ht="18">
      <c r="A60" s="28"/>
      <c r="B60" s="28" t="s">
        <v>284</v>
      </c>
      <c r="C60" s="45"/>
      <c r="D60" s="45"/>
      <c r="E60" s="33" t="s">
        <v>287</v>
      </c>
      <c r="F60" s="34" t="s">
        <v>67</v>
      </c>
      <c r="G60" s="34">
        <f>MIN(0.75*G53,0.85*G54)</f>
        <v>1351.5</v>
      </c>
      <c r="H60" s="28" t="s">
        <v>69</v>
      </c>
      <c r="I60" s="28" t="s">
        <v>288</v>
      </c>
      <c r="J60" s="28"/>
      <c r="K60" s="28"/>
      <c r="L60" s="46" t="s">
        <v>281</v>
      </c>
      <c r="M60" s="29"/>
      <c r="N60" s="30"/>
      <c r="O60" s="30"/>
      <c r="P60" s="30"/>
      <c r="Q60" s="30"/>
      <c r="R60" s="30"/>
      <c r="S60" s="30"/>
      <c r="T60" s="30"/>
      <c r="U60" s="30"/>
      <c r="V60" s="30"/>
    </row>
    <row r="61" spans="1:22" ht="17.25" thickBot="1">
      <c r="A61" s="28"/>
      <c r="B61" s="45"/>
      <c r="C61" s="45"/>
      <c r="D61" s="45"/>
      <c r="E61" s="45"/>
      <c r="F61" s="45"/>
      <c r="G61" s="45"/>
      <c r="H61" s="45"/>
      <c r="I61" s="28"/>
      <c r="J61" s="28"/>
      <c r="K61" s="28"/>
      <c r="L61" s="33"/>
      <c r="M61" s="29"/>
      <c r="N61" s="30"/>
      <c r="O61" s="30"/>
      <c r="P61" s="30"/>
      <c r="Q61" s="30"/>
      <c r="R61" s="30"/>
      <c r="S61" s="30"/>
      <c r="T61" s="30"/>
      <c r="U61" s="30"/>
      <c r="V61" s="30"/>
    </row>
    <row r="62" spans="1:22" ht="21">
      <c r="A62" s="28"/>
      <c r="B62" s="54" t="s">
        <v>676</v>
      </c>
      <c r="C62" s="55"/>
      <c r="D62" s="55"/>
      <c r="E62" s="56" t="s">
        <v>917</v>
      </c>
      <c r="F62" s="57" t="s">
        <v>67</v>
      </c>
      <c r="G62" s="241">
        <v>1193</v>
      </c>
      <c r="H62" s="58" t="s">
        <v>69</v>
      </c>
      <c r="I62" s="59"/>
      <c r="J62" s="59"/>
      <c r="K62" s="59"/>
      <c r="L62" s="60"/>
      <c r="M62" s="29"/>
      <c r="N62" s="30"/>
      <c r="O62" s="30"/>
      <c r="P62" s="30"/>
      <c r="Q62" s="30"/>
      <c r="R62" s="30"/>
      <c r="S62" s="30"/>
      <c r="T62" s="30"/>
      <c r="U62" s="30"/>
      <c r="V62" s="30"/>
    </row>
    <row r="63" spans="1:22" ht="18">
      <c r="A63" s="28"/>
      <c r="B63" s="61"/>
      <c r="C63" s="62"/>
      <c r="D63" s="62"/>
      <c r="E63" s="63" t="s">
        <v>111</v>
      </c>
      <c r="F63" s="64" t="str">
        <f>IF(G63&gt;G62, "&lt;", "&gt;" )</f>
        <v>&lt;</v>
      </c>
      <c r="G63" s="65">
        <f>MIN(0.8*G53,0.9*G54)</f>
        <v>1431</v>
      </c>
      <c r="H63" s="62" t="s">
        <v>69</v>
      </c>
      <c r="I63" s="62" t="s">
        <v>285</v>
      </c>
      <c r="J63" s="62"/>
      <c r="K63" s="62"/>
      <c r="L63" s="66" t="s">
        <v>112</v>
      </c>
      <c r="M63" s="29"/>
      <c r="N63" s="30"/>
      <c r="O63" s="30"/>
      <c r="P63" s="30"/>
      <c r="Q63" s="30"/>
      <c r="R63" s="30"/>
      <c r="S63" s="30"/>
      <c r="T63" s="30"/>
      <c r="U63" s="30"/>
      <c r="V63" s="30"/>
    </row>
    <row r="64" spans="1:22" ht="17.25" thickBot="1">
      <c r="A64" s="28"/>
      <c r="B64" s="67"/>
      <c r="C64" s="68"/>
      <c r="D64" s="68"/>
      <c r="E64" s="68"/>
      <c r="F64" s="68"/>
      <c r="G64" s="69" t="str">
        <f>IF(G63&gt;G62, "Maximální předpínací síla splňuje podmínku dle článku 5.10.2.1 (1)", "Maximální napínací síla NESPLŇUJE podmínku dle článku 5.10.2.1 (1)" )</f>
        <v>Maximální předpínací síla splňuje podmínku dle článku 5.10.2.1 (1)</v>
      </c>
      <c r="H64" s="68"/>
      <c r="I64" s="68"/>
      <c r="J64" s="68"/>
      <c r="K64" s="68"/>
      <c r="L64" s="70"/>
      <c r="M64" s="29"/>
      <c r="N64" s="30"/>
      <c r="O64" s="30"/>
      <c r="P64" s="30"/>
      <c r="Q64" s="30"/>
      <c r="R64" s="30"/>
      <c r="S64" s="30"/>
      <c r="T64" s="30"/>
      <c r="U64" s="30"/>
      <c r="V64" s="30"/>
    </row>
    <row r="65" spans="1:22" ht="18.75">
      <c r="A65" s="28"/>
      <c r="B65" s="28" t="s">
        <v>123</v>
      </c>
      <c r="C65" s="28"/>
      <c r="D65" s="28"/>
      <c r="E65" s="33" t="s">
        <v>124</v>
      </c>
      <c r="F65" s="34" t="s">
        <v>67</v>
      </c>
      <c r="G65" s="37">
        <f>G20+G32+G26</f>
        <v>1365</v>
      </c>
      <c r="H65" s="28" t="s">
        <v>99</v>
      </c>
      <c r="I65" s="49" t="s">
        <v>186</v>
      </c>
      <c r="J65" s="28"/>
      <c r="K65" s="28"/>
      <c r="L65" s="33"/>
      <c r="M65" s="29"/>
      <c r="N65" s="30"/>
      <c r="O65" s="30"/>
      <c r="P65" s="30"/>
      <c r="Q65" s="30"/>
      <c r="R65" s="30"/>
      <c r="S65" s="30"/>
      <c r="T65" s="30"/>
      <c r="U65" s="30"/>
      <c r="V65" s="30"/>
    </row>
    <row r="66" spans="1:22" ht="18">
      <c r="A66" s="28"/>
      <c r="B66" s="71" t="s">
        <v>113</v>
      </c>
      <c r="C66" s="28"/>
      <c r="D66" s="28"/>
      <c r="E66" s="72" t="s">
        <v>120</v>
      </c>
      <c r="F66" s="73" t="s">
        <v>67</v>
      </c>
      <c r="G66" s="73">
        <f>G65*0.001*G62</f>
        <v>1628.4449999999999</v>
      </c>
      <c r="H66" s="71" t="s">
        <v>119</v>
      </c>
      <c r="I66" s="49" t="s">
        <v>114</v>
      </c>
      <c r="J66" s="28"/>
      <c r="K66" s="28"/>
      <c r="L66" s="46" t="s">
        <v>115</v>
      </c>
      <c r="M66" s="29"/>
      <c r="N66" s="30"/>
      <c r="O66" s="30"/>
      <c r="P66" s="30"/>
      <c r="Q66" s="30"/>
      <c r="R66" s="30"/>
      <c r="S66" s="30"/>
    </row>
    <row r="67" spans="1:22" ht="7.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9"/>
      <c r="N67" s="30"/>
      <c r="O67" s="30"/>
      <c r="P67" s="30"/>
      <c r="Q67" s="30"/>
      <c r="R67" s="30"/>
      <c r="S67" s="30"/>
    </row>
    <row r="68" spans="1:22" ht="16.5">
      <c r="A68" s="31" t="s">
        <v>187</v>
      </c>
      <c r="B68" s="32"/>
      <c r="C68" s="32"/>
      <c r="D68" s="32"/>
      <c r="E68" s="32"/>
      <c r="F68" s="32"/>
      <c r="G68" s="32"/>
      <c r="H68" s="32"/>
      <c r="I68" s="28"/>
      <c r="J68" s="28"/>
      <c r="K68" s="28"/>
      <c r="L68" s="28"/>
      <c r="M68" s="29"/>
      <c r="N68" s="30"/>
      <c r="O68" s="30"/>
      <c r="P68" s="30"/>
      <c r="Q68" s="30"/>
      <c r="R68" s="30"/>
      <c r="S68" s="30"/>
    </row>
    <row r="69" spans="1:22" ht="16.5">
      <c r="A69" s="28"/>
      <c r="B69" s="38" t="s">
        <v>188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9"/>
      <c r="N69" s="30"/>
      <c r="O69" s="30"/>
      <c r="P69" s="30"/>
      <c r="Q69" s="30"/>
      <c r="R69" s="30"/>
      <c r="S69" s="30"/>
    </row>
    <row r="70" spans="1:22" ht="18.75">
      <c r="A70" s="28"/>
      <c r="B70" s="28" t="s">
        <v>155</v>
      </c>
      <c r="C70" s="45"/>
      <c r="D70" s="45"/>
      <c r="E70" s="33" t="s">
        <v>156</v>
      </c>
      <c r="F70" s="34" t="s">
        <v>67</v>
      </c>
      <c r="G70" s="74">
        <v>0.20374</v>
      </c>
      <c r="H70" s="28" t="s">
        <v>127</v>
      </c>
      <c r="I70" s="28"/>
      <c r="J70" s="28"/>
      <c r="K70" s="28"/>
      <c r="L70" s="28"/>
      <c r="M70" s="75" t="s">
        <v>900</v>
      </c>
      <c r="N70" s="30"/>
      <c r="O70" s="30"/>
      <c r="P70" s="30"/>
      <c r="Q70" s="30"/>
      <c r="R70" s="30"/>
      <c r="S70" s="30"/>
    </row>
    <row r="71" spans="1:22" ht="18">
      <c r="A71" s="28"/>
      <c r="B71" s="28" t="s">
        <v>193</v>
      </c>
      <c r="C71" s="28"/>
      <c r="D71" s="28"/>
      <c r="E71" s="33" t="s">
        <v>189</v>
      </c>
      <c r="F71" s="34" t="s">
        <v>67</v>
      </c>
      <c r="G71" s="74">
        <v>0.20503199999999999</v>
      </c>
      <c r="H71" s="28" t="s">
        <v>98</v>
      </c>
      <c r="I71" s="28"/>
      <c r="J71" s="28"/>
      <c r="K71" s="28"/>
      <c r="L71" s="28"/>
      <c r="M71" s="75" t="s">
        <v>900</v>
      </c>
      <c r="N71" s="30"/>
      <c r="O71" s="30"/>
      <c r="P71" s="30"/>
      <c r="Q71" s="30"/>
      <c r="R71" s="30"/>
      <c r="S71" s="30"/>
    </row>
    <row r="72" spans="1:22" ht="18.75">
      <c r="A72" s="28"/>
      <c r="B72" s="28" t="s">
        <v>132</v>
      </c>
      <c r="C72" s="28"/>
      <c r="D72" s="28"/>
      <c r="E72" s="33" t="s">
        <v>190</v>
      </c>
      <c r="F72" s="34" t="s">
        <v>67</v>
      </c>
      <c r="G72" s="76">
        <v>4.2814000000000003E-3</v>
      </c>
      <c r="H72" s="28" t="s">
        <v>130</v>
      </c>
      <c r="I72" s="28"/>
      <c r="J72" s="28"/>
      <c r="K72" s="28"/>
      <c r="L72" s="28"/>
      <c r="M72" s="75" t="s">
        <v>900</v>
      </c>
      <c r="N72" s="30"/>
      <c r="O72" s="30"/>
      <c r="P72" s="30"/>
      <c r="Q72" s="30"/>
      <c r="R72" s="30"/>
    </row>
    <row r="73" spans="1:22" ht="16.5">
      <c r="A73" s="28"/>
      <c r="B73" s="38" t="s">
        <v>194</v>
      </c>
      <c r="C73" s="28"/>
      <c r="D73" s="28"/>
      <c r="E73" s="33"/>
      <c r="F73" s="34"/>
      <c r="G73" s="77"/>
      <c r="H73" s="28"/>
      <c r="I73" s="28"/>
      <c r="J73" s="28"/>
      <c r="K73" s="28"/>
      <c r="L73" s="28"/>
      <c r="M73" s="29"/>
      <c r="N73" s="30"/>
      <c r="O73" s="30"/>
      <c r="P73" s="30"/>
      <c r="Q73" s="30"/>
      <c r="R73" s="30"/>
    </row>
    <row r="74" spans="1:22" ht="18.75">
      <c r="A74" s="28"/>
      <c r="B74" s="28" t="s">
        <v>195</v>
      </c>
      <c r="C74" s="28"/>
      <c r="D74" s="28"/>
      <c r="E74" s="33" t="s">
        <v>124</v>
      </c>
      <c r="F74" s="34" t="s">
        <v>67</v>
      </c>
      <c r="G74" s="37">
        <f>G20+G26+G32</f>
        <v>1365</v>
      </c>
      <c r="H74" s="28" t="s">
        <v>99</v>
      </c>
      <c r="I74" s="28"/>
      <c r="J74" s="28"/>
      <c r="K74" s="28"/>
      <c r="L74" s="28"/>
      <c r="M74" s="29"/>
      <c r="N74" s="30"/>
      <c r="O74" s="30"/>
      <c r="P74" s="30"/>
      <c r="Q74" s="30"/>
      <c r="R74" s="30"/>
    </row>
    <row r="75" spans="1:22" ht="18">
      <c r="A75" s="28"/>
      <c r="B75" s="28" t="s">
        <v>191</v>
      </c>
      <c r="C75" s="28"/>
      <c r="D75" s="28"/>
      <c r="E75" s="33" t="s">
        <v>192</v>
      </c>
      <c r="F75" s="34" t="s">
        <v>67</v>
      </c>
      <c r="G75" s="34">
        <f>(G20*G21+G26*G27+G32*G33)*0.001/G65</f>
        <v>7.8164835164835175E-2</v>
      </c>
      <c r="H75" s="28" t="s">
        <v>98</v>
      </c>
      <c r="I75" s="28"/>
      <c r="J75" s="28"/>
      <c r="K75" s="28"/>
      <c r="L75" s="28"/>
      <c r="M75" s="29"/>
      <c r="N75" s="30"/>
      <c r="O75" s="30"/>
      <c r="P75" s="30"/>
      <c r="Q75" s="30"/>
      <c r="R75" s="30"/>
    </row>
    <row r="76" spans="1:22" ht="18">
      <c r="A76" s="28"/>
      <c r="B76" s="28" t="s">
        <v>203</v>
      </c>
      <c r="C76" s="28"/>
      <c r="D76" s="28"/>
      <c r="E76" s="33" t="s">
        <v>204</v>
      </c>
      <c r="F76" s="34" t="s">
        <v>67</v>
      </c>
      <c r="G76" s="34">
        <f>G71-G75</f>
        <v>0.1268671648351648</v>
      </c>
      <c r="H76" s="28" t="s">
        <v>98</v>
      </c>
      <c r="I76" s="28" t="s">
        <v>205</v>
      </c>
      <c r="J76" s="28"/>
      <c r="K76" s="28"/>
      <c r="L76" s="28"/>
      <c r="M76" s="29"/>
      <c r="N76" s="30"/>
      <c r="O76" s="30"/>
      <c r="P76" s="30"/>
      <c r="Q76" s="30"/>
      <c r="R76" s="30"/>
    </row>
    <row r="77" spans="1:22" ht="18">
      <c r="A77" s="28"/>
      <c r="B77" s="28" t="s">
        <v>196</v>
      </c>
      <c r="C77" s="28"/>
      <c r="D77" s="28"/>
      <c r="E77" s="78" t="s">
        <v>197</v>
      </c>
      <c r="F77" s="34" t="s">
        <v>67</v>
      </c>
      <c r="G77" s="47">
        <f>G57/G44</f>
        <v>6.018518518518519</v>
      </c>
      <c r="H77" s="28" t="s">
        <v>199</v>
      </c>
      <c r="I77" s="79" t="s">
        <v>198</v>
      </c>
      <c r="J77" s="28"/>
      <c r="K77" s="28"/>
      <c r="L77" s="28"/>
      <c r="M77" s="29"/>
      <c r="N77" s="30"/>
      <c r="O77" s="30"/>
      <c r="P77" s="30"/>
      <c r="Q77" s="30"/>
      <c r="R77" s="30"/>
    </row>
    <row r="78" spans="1:22" ht="16.5">
      <c r="A78" s="28"/>
      <c r="B78" s="38" t="s">
        <v>200</v>
      </c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9"/>
      <c r="N78" s="30"/>
      <c r="O78" s="30"/>
      <c r="P78" s="30"/>
      <c r="Q78" s="30"/>
      <c r="R78" s="30"/>
    </row>
    <row r="79" spans="1:22" ht="18.75">
      <c r="A79" s="28"/>
      <c r="B79" s="28" t="s">
        <v>126</v>
      </c>
      <c r="C79" s="45"/>
      <c r="D79" s="45"/>
      <c r="E79" s="33" t="s">
        <v>128</v>
      </c>
      <c r="F79" s="34" t="s">
        <v>67</v>
      </c>
      <c r="G79" s="34">
        <f>G70+G77*G74*0.000001</f>
        <v>0.21195527777777778</v>
      </c>
      <c r="H79" s="28" t="s">
        <v>127</v>
      </c>
      <c r="I79" s="28" t="s">
        <v>206</v>
      </c>
      <c r="J79" s="28"/>
      <c r="K79" s="28"/>
      <c r="L79" s="28"/>
      <c r="M79" s="29"/>
      <c r="N79" s="30"/>
      <c r="O79" s="30"/>
      <c r="P79" s="30"/>
    </row>
    <row r="80" spans="1:22" ht="18.75">
      <c r="A80" s="28"/>
      <c r="B80" s="28" t="s">
        <v>201</v>
      </c>
      <c r="C80" s="28"/>
      <c r="D80" s="28"/>
      <c r="E80" s="33" t="s">
        <v>202</v>
      </c>
      <c r="F80" s="34" t="s">
        <v>67</v>
      </c>
      <c r="G80" s="34">
        <f>(G77*G74*0.000001*G76)/G79</f>
        <v>4.9173061927372001E-3</v>
      </c>
      <c r="H80" s="28" t="s">
        <v>127</v>
      </c>
      <c r="I80" s="28" t="s">
        <v>217</v>
      </c>
      <c r="J80" s="28"/>
      <c r="K80" s="28"/>
      <c r="L80" s="28"/>
      <c r="M80" s="29"/>
      <c r="N80" s="30"/>
      <c r="O80" s="30"/>
      <c r="P80" s="30"/>
    </row>
    <row r="81" spans="1:16" ht="18">
      <c r="A81" s="45"/>
      <c r="B81" s="28" t="s">
        <v>207</v>
      </c>
      <c r="C81" s="45"/>
      <c r="D81" s="45"/>
      <c r="E81" s="33" t="s">
        <v>209</v>
      </c>
      <c r="F81" s="34" t="s">
        <v>67</v>
      </c>
      <c r="G81" s="34">
        <f>G76-G80</f>
        <v>0.12194985864242761</v>
      </c>
      <c r="H81" s="28" t="s">
        <v>98</v>
      </c>
      <c r="I81" s="28" t="s">
        <v>208</v>
      </c>
      <c r="J81" s="28"/>
      <c r="K81" s="45"/>
      <c r="L81" s="28"/>
      <c r="M81" s="29"/>
      <c r="N81" s="30"/>
      <c r="O81" s="30"/>
      <c r="P81" s="30"/>
    </row>
    <row r="82" spans="1:16" ht="18">
      <c r="A82" s="28"/>
      <c r="B82" s="28" t="s">
        <v>212</v>
      </c>
      <c r="C82" s="28"/>
      <c r="D82" s="28"/>
      <c r="E82" s="33" t="s">
        <v>210</v>
      </c>
      <c r="F82" s="34" t="s">
        <v>67</v>
      </c>
      <c r="G82" s="34">
        <f>G71-G80</f>
        <v>0.20011469380726279</v>
      </c>
      <c r="H82" s="28" t="s">
        <v>98</v>
      </c>
      <c r="I82" s="28" t="s">
        <v>211</v>
      </c>
      <c r="J82" s="28"/>
      <c r="K82" s="28"/>
      <c r="L82" s="28"/>
      <c r="M82" s="29"/>
      <c r="N82" s="30"/>
      <c r="O82" s="30"/>
      <c r="P82" s="30"/>
    </row>
    <row r="83" spans="1:16" ht="18">
      <c r="A83" s="28"/>
      <c r="B83" s="28" t="s">
        <v>214</v>
      </c>
      <c r="C83" s="28"/>
      <c r="D83" s="28"/>
      <c r="E83" s="33" t="s">
        <v>213</v>
      </c>
      <c r="F83" s="34" t="s">
        <v>67</v>
      </c>
      <c r="G83" s="80">
        <f>(G11-G71)+G80</f>
        <v>0.19988530619273723</v>
      </c>
      <c r="H83" s="28" t="s">
        <v>98</v>
      </c>
      <c r="I83" s="28" t="s">
        <v>215</v>
      </c>
      <c r="J83" s="28"/>
      <c r="K83" s="28"/>
      <c r="L83" s="28"/>
      <c r="M83" s="29"/>
      <c r="N83" s="30"/>
      <c r="O83" s="30"/>
      <c r="P83" s="30"/>
    </row>
    <row r="84" spans="1:16" ht="18.75">
      <c r="A84" s="28"/>
      <c r="B84" s="28" t="s">
        <v>132</v>
      </c>
      <c r="C84" s="28"/>
      <c r="D84" s="28"/>
      <c r="E84" s="33" t="s">
        <v>133</v>
      </c>
      <c r="F84" s="34" t="s">
        <v>67</v>
      </c>
      <c r="G84" s="77">
        <f>G72+G70*G80*G80+G77*G74*0.000001*G81*G81</f>
        <v>4.4085021182202113E-3</v>
      </c>
      <c r="H84" s="28" t="s">
        <v>130</v>
      </c>
      <c r="I84" s="49" t="s">
        <v>216</v>
      </c>
      <c r="J84" s="28"/>
      <c r="K84" s="28"/>
      <c r="L84" s="28"/>
      <c r="M84" s="29"/>
      <c r="N84" s="30"/>
      <c r="O84" s="30"/>
      <c r="P84" s="30"/>
    </row>
    <row r="85" spans="1:16" ht="18.75">
      <c r="A85" s="28"/>
      <c r="B85" s="28" t="s">
        <v>369</v>
      </c>
      <c r="C85" s="28"/>
      <c r="D85" s="28"/>
      <c r="E85" s="33" t="s">
        <v>134</v>
      </c>
      <c r="F85" s="34" t="s">
        <v>67</v>
      </c>
      <c r="G85" s="77">
        <f>G84/G83</f>
        <v>2.2055158541615667E-2</v>
      </c>
      <c r="H85" s="28" t="s">
        <v>131</v>
      </c>
      <c r="I85" s="28"/>
      <c r="J85" s="28"/>
      <c r="K85" s="28"/>
      <c r="L85" s="28"/>
      <c r="M85" s="29"/>
      <c r="N85" s="30"/>
      <c r="O85" s="30"/>
      <c r="P85" s="30"/>
    </row>
    <row r="86" spans="1:16" ht="18.75">
      <c r="A86" s="28"/>
      <c r="B86" s="28" t="s">
        <v>370</v>
      </c>
      <c r="C86" s="28"/>
      <c r="D86" s="28"/>
      <c r="E86" s="33" t="s">
        <v>135</v>
      </c>
      <c r="F86" s="34" t="s">
        <v>67</v>
      </c>
      <c r="G86" s="77">
        <f>G84/G82</f>
        <v>2.2029877138688217E-2</v>
      </c>
      <c r="H86" s="28" t="s">
        <v>131</v>
      </c>
      <c r="I86" s="28"/>
      <c r="J86" s="28"/>
      <c r="K86" s="28"/>
      <c r="L86" s="28"/>
      <c r="M86" s="29"/>
      <c r="N86" s="30"/>
      <c r="O86" s="30"/>
      <c r="P86" s="30"/>
    </row>
    <row r="87" spans="1:16" ht="8.2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9"/>
      <c r="N87" s="30"/>
      <c r="O87" s="30"/>
    </row>
    <row r="88" spans="1:16" ht="16.5">
      <c r="A88" s="31" t="s">
        <v>136</v>
      </c>
      <c r="B88" s="32"/>
      <c r="C88" s="32"/>
      <c r="D88" s="32"/>
      <c r="E88" s="32"/>
      <c r="F88" s="32"/>
      <c r="G88" s="32"/>
      <c r="H88" s="32"/>
      <c r="I88" s="28"/>
      <c r="J88" s="28"/>
      <c r="K88" s="28"/>
      <c r="L88" s="45"/>
      <c r="M88" s="29"/>
      <c r="N88" s="30"/>
      <c r="O88" s="30"/>
    </row>
    <row r="89" spans="1:16" ht="18">
      <c r="A89" s="28"/>
      <c r="B89" s="28" t="s">
        <v>137</v>
      </c>
      <c r="C89" s="28"/>
      <c r="D89" s="28"/>
      <c r="E89" s="33" t="s">
        <v>138</v>
      </c>
      <c r="F89" s="34" t="s">
        <v>67</v>
      </c>
      <c r="G89" s="35">
        <v>4.8</v>
      </c>
      <c r="H89" s="28" t="s">
        <v>139</v>
      </c>
      <c r="I89" s="34">
        <f>G89*24*60</f>
        <v>6911.9999999999991</v>
      </c>
      <c r="J89" s="28" t="s">
        <v>140</v>
      </c>
      <c r="K89" s="28"/>
      <c r="L89" s="72"/>
      <c r="M89" s="75" t="s">
        <v>901</v>
      </c>
      <c r="N89" s="30"/>
      <c r="O89" s="30"/>
    </row>
    <row r="90" spans="1:16" ht="18">
      <c r="A90" s="28"/>
      <c r="B90" s="28" t="s">
        <v>141</v>
      </c>
      <c r="C90" s="28"/>
      <c r="D90" s="28"/>
      <c r="E90" s="33" t="s">
        <v>144</v>
      </c>
      <c r="F90" s="34" t="s">
        <v>67</v>
      </c>
      <c r="G90" s="35">
        <v>21</v>
      </c>
      <c r="H90" s="28" t="s">
        <v>145</v>
      </c>
      <c r="I90" s="34">
        <f>G90*24*60</f>
        <v>30240</v>
      </c>
      <c r="J90" s="28" t="s">
        <v>140</v>
      </c>
      <c r="K90" s="28"/>
      <c r="L90" s="72" t="s">
        <v>416</v>
      </c>
      <c r="M90" s="75" t="s">
        <v>903</v>
      </c>
      <c r="N90" s="30"/>
      <c r="O90" s="30"/>
    </row>
    <row r="91" spans="1:16" ht="18.75">
      <c r="A91" s="28"/>
      <c r="B91" s="28" t="s">
        <v>142</v>
      </c>
      <c r="C91" s="28"/>
      <c r="D91" s="28"/>
      <c r="E91" s="33" t="s">
        <v>143</v>
      </c>
      <c r="F91" s="34" t="s">
        <v>67</v>
      </c>
      <c r="G91" s="81">
        <v>36500</v>
      </c>
      <c r="H91" s="28" t="s">
        <v>145</v>
      </c>
      <c r="I91" s="34">
        <f>G91*24*60</f>
        <v>52560000</v>
      </c>
      <c r="J91" s="28" t="s">
        <v>140</v>
      </c>
      <c r="K91" s="28"/>
      <c r="L91" s="72" t="s">
        <v>417</v>
      </c>
      <c r="M91" s="29"/>
      <c r="N91" s="30"/>
      <c r="O91" s="30"/>
    </row>
    <row r="92" spans="1:16" ht="8.2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9"/>
      <c r="N92" s="30"/>
      <c r="O92" s="30"/>
    </row>
    <row r="93" spans="1:16" ht="16.5">
      <c r="A93" s="31" t="s">
        <v>311</v>
      </c>
      <c r="B93" s="32"/>
      <c r="C93" s="32"/>
      <c r="D93" s="32"/>
      <c r="E93" s="32"/>
      <c r="F93" s="32"/>
      <c r="G93" s="32"/>
      <c r="H93" s="32"/>
      <c r="I93" s="28"/>
      <c r="J93" s="28"/>
      <c r="K93" s="28"/>
      <c r="L93" s="28"/>
      <c r="M93" s="29"/>
      <c r="N93" s="30"/>
      <c r="O93" s="30"/>
    </row>
    <row r="94" spans="1:16" ht="7.5" customHeight="1">
      <c r="A94" s="71"/>
      <c r="B94" s="45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9"/>
      <c r="N94" s="30"/>
      <c r="O94" s="30"/>
    </row>
    <row r="95" spans="1:16" ht="18" customHeight="1">
      <c r="A95" s="28"/>
      <c r="B95" s="82" t="s">
        <v>137</v>
      </c>
      <c r="C95" s="28"/>
      <c r="D95" s="28"/>
      <c r="E95" s="33" t="s">
        <v>138</v>
      </c>
      <c r="F95" s="34" t="s">
        <v>67</v>
      </c>
      <c r="G95" s="37">
        <f>G89</f>
        <v>4.8</v>
      </c>
      <c r="H95" s="28" t="s">
        <v>310</v>
      </c>
      <c r="I95" s="83"/>
      <c r="J95" s="28"/>
      <c r="K95" s="28"/>
      <c r="L95" s="28"/>
      <c r="M95" s="29"/>
      <c r="N95" s="30"/>
      <c r="O95" s="30"/>
    </row>
    <row r="96" spans="1:16" ht="18.75">
      <c r="A96" s="28"/>
      <c r="B96" s="84" t="s">
        <v>268</v>
      </c>
      <c r="C96" s="28"/>
      <c r="D96" s="28"/>
      <c r="E96" s="48" t="s">
        <v>300</v>
      </c>
      <c r="F96" s="34" t="s">
        <v>67</v>
      </c>
      <c r="G96" s="85">
        <f>EXP($G$49*(1-POWER((28/G95),0.5)))</f>
        <v>0.75348520846995393</v>
      </c>
      <c r="H96" s="28" t="s">
        <v>199</v>
      </c>
      <c r="I96" s="84" t="s">
        <v>302</v>
      </c>
      <c r="J96" s="28"/>
      <c r="K96" s="28"/>
      <c r="L96" s="46" t="s">
        <v>271</v>
      </c>
      <c r="M96" s="29"/>
      <c r="N96" s="30"/>
      <c r="O96" s="30"/>
    </row>
    <row r="97" spans="1:15" ht="18.75">
      <c r="A97" s="28"/>
      <c r="B97" s="28" t="s">
        <v>304</v>
      </c>
      <c r="C97" s="28"/>
      <c r="D97" s="28"/>
      <c r="E97" s="48" t="s">
        <v>299</v>
      </c>
      <c r="F97" s="34" t="s">
        <v>67</v>
      </c>
      <c r="G97" s="47">
        <f>POWER((G96*$G$40/$G$40),0.3)*$G$44</f>
        <v>29.762364388174387</v>
      </c>
      <c r="H97" s="28" t="s">
        <v>68</v>
      </c>
      <c r="I97" s="28" t="s">
        <v>301</v>
      </c>
      <c r="J97" s="28"/>
      <c r="K97" s="28"/>
      <c r="L97" s="46" t="s">
        <v>267</v>
      </c>
      <c r="M97" s="29"/>
      <c r="N97" s="30"/>
      <c r="O97" s="30"/>
    </row>
    <row r="98" spans="1:15" ht="18">
      <c r="A98" s="28"/>
      <c r="B98" s="86" t="s">
        <v>295</v>
      </c>
      <c r="C98" s="28"/>
      <c r="D98" s="28"/>
      <c r="E98" s="48" t="s">
        <v>307</v>
      </c>
      <c r="F98" s="34" t="s">
        <v>67</v>
      </c>
      <c r="G98" s="47">
        <f>POWER(G96,IF(G95&lt;28,1,2/3))*$G$41</f>
        <v>2.8632437921858247</v>
      </c>
      <c r="H98" s="28" t="s">
        <v>69</v>
      </c>
      <c r="I98" s="84" t="s">
        <v>308</v>
      </c>
      <c r="J98" s="28"/>
      <c r="K98" s="28"/>
      <c r="L98" s="46" t="s">
        <v>309</v>
      </c>
      <c r="M98" s="29"/>
      <c r="N98" s="30"/>
      <c r="O98" s="30"/>
    </row>
    <row r="99" spans="1:15" ht="18">
      <c r="A99" s="28"/>
      <c r="B99" s="86" t="s">
        <v>399</v>
      </c>
      <c r="C99" s="45"/>
      <c r="D99" s="45"/>
      <c r="E99" s="48" t="s">
        <v>400</v>
      </c>
      <c r="F99" s="34" t="s">
        <v>67</v>
      </c>
      <c r="G99" s="47">
        <f>G96*$G$40-8</f>
        <v>31.934716048907561</v>
      </c>
      <c r="H99" s="28" t="s">
        <v>69</v>
      </c>
      <c r="I99" s="84" t="s">
        <v>401</v>
      </c>
      <c r="J99" s="28"/>
      <c r="K99" s="28"/>
      <c r="L99" s="46" t="s">
        <v>402</v>
      </c>
      <c r="M99" s="29"/>
      <c r="N99" s="30"/>
      <c r="O99" s="30"/>
    </row>
    <row r="100" spans="1:15" ht="18">
      <c r="A100" s="28"/>
      <c r="B100" s="86" t="s">
        <v>452</v>
      </c>
      <c r="C100" s="45"/>
      <c r="D100" s="45"/>
      <c r="E100" s="48" t="s">
        <v>453</v>
      </c>
      <c r="F100" s="34" t="s">
        <v>67</v>
      </c>
      <c r="G100" s="47">
        <f>G96*$G$40</f>
        <v>39.934716048907561</v>
      </c>
      <c r="H100" s="28" t="s">
        <v>69</v>
      </c>
      <c r="I100" s="84" t="s">
        <v>454</v>
      </c>
      <c r="J100" s="28"/>
      <c r="K100" s="28"/>
      <c r="L100" s="46" t="s">
        <v>455</v>
      </c>
      <c r="M100" s="29"/>
      <c r="N100" s="30"/>
      <c r="O100" s="30"/>
    </row>
    <row r="101" spans="1:15" ht="7.5" customHeight="1">
      <c r="A101" s="28"/>
      <c r="B101" s="86"/>
      <c r="C101" s="28"/>
      <c r="D101" s="28"/>
      <c r="E101" s="48"/>
      <c r="F101" s="34"/>
      <c r="G101" s="47"/>
      <c r="H101" s="28"/>
      <c r="I101" s="28"/>
      <c r="J101" s="28"/>
      <c r="K101" s="28"/>
      <c r="L101" s="46"/>
      <c r="M101" s="29"/>
      <c r="N101" s="30"/>
      <c r="O101" s="30"/>
    </row>
    <row r="102" spans="1:15" ht="18">
      <c r="A102" s="28"/>
      <c r="B102" s="82" t="s">
        <v>902</v>
      </c>
      <c r="C102" s="28"/>
      <c r="D102" s="28"/>
      <c r="E102" s="33" t="s">
        <v>138</v>
      </c>
      <c r="F102" s="34" t="s">
        <v>67</v>
      </c>
      <c r="G102" s="37">
        <f>G90</f>
        <v>21</v>
      </c>
      <c r="H102" s="28" t="s">
        <v>449</v>
      </c>
      <c r="I102" s="87"/>
      <c r="J102" s="28"/>
      <c r="K102" s="28"/>
      <c r="L102" s="28"/>
      <c r="M102" s="29"/>
      <c r="N102" s="30"/>
      <c r="O102" s="30"/>
    </row>
    <row r="103" spans="1:15" ht="18.75">
      <c r="A103" s="28"/>
      <c r="B103" s="84" t="s">
        <v>268</v>
      </c>
      <c r="C103" s="28"/>
      <c r="D103" s="28"/>
      <c r="E103" s="48" t="s">
        <v>605</v>
      </c>
      <c r="F103" s="34" t="s">
        <v>67</v>
      </c>
      <c r="G103" s="85">
        <f>EXP($G$49*(1-POWER((28/G102),0.5)))</f>
        <v>0.96953363896013689</v>
      </c>
      <c r="H103" s="28" t="s">
        <v>199</v>
      </c>
      <c r="I103" s="84" t="s">
        <v>610</v>
      </c>
      <c r="J103" s="28"/>
      <c r="K103" s="28"/>
      <c r="L103" s="46" t="s">
        <v>271</v>
      </c>
      <c r="M103" s="29"/>
      <c r="N103" s="30"/>
      <c r="O103" s="30"/>
    </row>
    <row r="104" spans="1:15" ht="18.75">
      <c r="A104" s="28"/>
      <c r="B104" s="28" t="s">
        <v>304</v>
      </c>
      <c r="C104" s="28"/>
      <c r="D104" s="28"/>
      <c r="E104" s="48" t="s">
        <v>606</v>
      </c>
      <c r="F104" s="34" t="s">
        <v>67</v>
      </c>
      <c r="G104" s="47">
        <f>POWER((G103*$G$40/$G$40),0.3)*$G$44</f>
        <v>32.100653574195306</v>
      </c>
      <c r="H104" s="28" t="s">
        <v>68</v>
      </c>
      <c r="I104" s="28" t="s">
        <v>611</v>
      </c>
      <c r="J104" s="28"/>
      <c r="K104" s="28"/>
      <c r="L104" s="46" t="s">
        <v>267</v>
      </c>
      <c r="M104" s="29"/>
      <c r="N104" s="30"/>
      <c r="O104" s="30"/>
    </row>
    <row r="105" spans="1:15" ht="18">
      <c r="A105" s="28"/>
      <c r="B105" s="86" t="s">
        <v>295</v>
      </c>
      <c r="C105" s="28"/>
      <c r="D105" s="28"/>
      <c r="E105" s="48" t="s">
        <v>607</v>
      </c>
      <c r="F105" s="34" t="s">
        <v>67</v>
      </c>
      <c r="G105" s="47">
        <f>POWER(G103,IF(G102&lt;28,1,2/3))*$G$41</f>
        <v>3.6842278280485199</v>
      </c>
      <c r="H105" s="28" t="s">
        <v>69</v>
      </c>
      <c r="I105" s="84" t="s">
        <v>612</v>
      </c>
      <c r="J105" s="28"/>
      <c r="K105" s="28"/>
      <c r="L105" s="46" t="s">
        <v>309</v>
      </c>
      <c r="M105" s="29"/>
      <c r="N105" s="30"/>
      <c r="O105" s="30"/>
    </row>
    <row r="106" spans="1:15" ht="18">
      <c r="A106" s="28"/>
      <c r="B106" s="86" t="s">
        <v>399</v>
      </c>
      <c r="C106" s="45"/>
      <c r="D106" s="45"/>
      <c r="E106" s="48" t="s">
        <v>608</v>
      </c>
      <c r="F106" s="34" t="s">
        <v>67</v>
      </c>
      <c r="G106" s="47">
        <f>G103*$G$40-8</f>
        <v>43.385282864887252</v>
      </c>
      <c r="H106" s="28" t="s">
        <v>69</v>
      </c>
      <c r="I106" s="84" t="s">
        <v>613</v>
      </c>
      <c r="J106" s="28"/>
      <c r="K106" s="28"/>
      <c r="L106" s="46" t="s">
        <v>402</v>
      </c>
      <c r="M106" s="29"/>
      <c r="N106" s="30"/>
      <c r="O106" s="30"/>
    </row>
    <row r="107" spans="1:15" ht="18" customHeight="1">
      <c r="A107" s="28"/>
      <c r="B107" s="86" t="s">
        <v>452</v>
      </c>
      <c r="C107" s="45"/>
      <c r="D107" s="45"/>
      <c r="E107" s="48" t="s">
        <v>609</v>
      </c>
      <c r="F107" s="34" t="s">
        <v>67</v>
      </c>
      <c r="G107" s="47">
        <f>G103*$G$40</f>
        <v>51.385282864887252</v>
      </c>
      <c r="H107" s="28" t="s">
        <v>69</v>
      </c>
      <c r="I107" s="84" t="s">
        <v>614</v>
      </c>
      <c r="J107" s="28"/>
      <c r="K107" s="28"/>
      <c r="L107" s="46" t="s">
        <v>455</v>
      </c>
      <c r="M107" s="29"/>
      <c r="N107" s="30"/>
      <c r="O107" s="30"/>
    </row>
    <row r="108" spans="1:15" ht="8.25" customHeight="1">
      <c r="A108" s="28"/>
      <c r="B108" s="86"/>
      <c r="C108" s="28"/>
      <c r="D108" s="28"/>
      <c r="E108" s="48"/>
      <c r="F108" s="34"/>
      <c r="G108" s="47"/>
      <c r="H108" s="28"/>
      <c r="I108" s="28"/>
      <c r="J108" s="28"/>
      <c r="K108" s="28"/>
      <c r="L108" s="46"/>
      <c r="M108" s="29"/>
      <c r="N108" s="30"/>
      <c r="O108" s="30"/>
    </row>
    <row r="109" spans="1:15" ht="16.5">
      <c r="A109" s="31" t="s">
        <v>916</v>
      </c>
      <c r="B109" s="32"/>
      <c r="C109" s="32"/>
      <c r="D109" s="32"/>
      <c r="E109" s="32"/>
      <c r="F109" s="32"/>
      <c r="G109" s="32"/>
      <c r="H109" s="32"/>
      <c r="I109" s="88"/>
      <c r="J109" s="88"/>
      <c r="K109" s="88"/>
      <c r="L109" s="88"/>
      <c r="M109" s="29"/>
      <c r="N109" s="30"/>
      <c r="O109" s="30"/>
    </row>
    <row r="110" spans="1:15" ht="7.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9"/>
      <c r="N110" s="30"/>
      <c r="O110" s="30"/>
    </row>
    <row r="111" spans="1:15" ht="18" customHeight="1">
      <c r="A111" s="28" t="s">
        <v>314</v>
      </c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9"/>
      <c r="N111" s="30"/>
      <c r="O111" s="30"/>
    </row>
    <row r="112" spans="1:15" ht="17.25" customHeight="1">
      <c r="A112" s="28"/>
      <c r="B112" s="28" t="s">
        <v>552</v>
      </c>
      <c r="C112" s="28"/>
      <c r="D112" s="28"/>
      <c r="E112" s="33" t="s">
        <v>291</v>
      </c>
      <c r="F112" s="34" t="s">
        <v>67</v>
      </c>
      <c r="G112" s="34">
        <f>VLOOKUP(N112,Hodnoty!A47:D48,3,TRUE)</f>
        <v>3.2</v>
      </c>
      <c r="H112" s="28" t="s">
        <v>199</v>
      </c>
      <c r="I112" s="28" t="str">
        <f>VLOOKUP(N112,Hodnoty!A47:D48,2,TRUE)</f>
        <v>3 drátová a 7 drátová lana</v>
      </c>
      <c r="J112" s="28"/>
      <c r="K112" s="28"/>
      <c r="L112" s="46" t="s">
        <v>294</v>
      </c>
      <c r="M112" s="29" t="s">
        <v>912</v>
      </c>
      <c r="N112" s="30">
        <v>2</v>
      </c>
      <c r="O112" s="30"/>
    </row>
    <row r="113" spans="1:18" ht="17.25" customHeight="1">
      <c r="A113" s="28"/>
      <c r="B113" s="28" t="s">
        <v>292</v>
      </c>
      <c r="C113" s="28"/>
      <c r="D113" s="28"/>
      <c r="E113" s="33" t="s">
        <v>293</v>
      </c>
      <c r="F113" s="34" t="s">
        <v>67</v>
      </c>
      <c r="G113" s="34">
        <f>VLOOKUP(N113,Hodnoty!K47:M48,3,TRUE)</f>
        <v>1</v>
      </c>
      <c r="H113" s="28" t="s">
        <v>199</v>
      </c>
      <c r="I113" s="28" t="str">
        <f>VLOOKUP(N113,Hodnoty!K47:M48,2,TRUE)</f>
        <v>dobré podmínky v soudržnosti (dle 8.4.2)</v>
      </c>
      <c r="J113" s="28"/>
      <c r="K113" s="28"/>
      <c r="L113" s="46" t="s">
        <v>294</v>
      </c>
      <c r="M113" s="29" t="s">
        <v>913</v>
      </c>
      <c r="N113" s="30">
        <v>1</v>
      </c>
      <c r="O113" s="30"/>
    </row>
    <row r="114" spans="1:18" ht="17.25" customHeight="1">
      <c r="A114" s="28"/>
      <c r="B114" s="28" t="s">
        <v>321</v>
      </c>
      <c r="C114" s="28"/>
      <c r="D114" s="28"/>
      <c r="E114" s="48" t="s">
        <v>323</v>
      </c>
      <c r="F114" s="34" t="s">
        <v>67</v>
      </c>
      <c r="G114" s="34">
        <f>VLOOKUP(N114,Hodnoty!F47:I48,4,TRUE)</f>
        <v>1.25</v>
      </c>
      <c r="H114" s="28"/>
      <c r="I114" s="28" t="str">
        <f>VLOOKUP(N114,Hodnoty!F47:I48,2,TRUE)</f>
        <v>náhlé uvolnění lana</v>
      </c>
      <c r="J114" s="28"/>
      <c r="K114" s="28"/>
      <c r="L114" s="46"/>
      <c r="M114" s="29" t="s">
        <v>914</v>
      </c>
      <c r="N114" s="30">
        <v>1</v>
      </c>
      <c r="O114" s="30"/>
    </row>
    <row r="115" spans="1:18" ht="17.25" customHeight="1">
      <c r="A115" s="28"/>
      <c r="B115" s="28" t="s">
        <v>322</v>
      </c>
      <c r="C115" s="28"/>
      <c r="D115" s="28"/>
      <c r="E115" s="48" t="s">
        <v>324</v>
      </c>
      <c r="F115" s="34" t="s">
        <v>67</v>
      </c>
      <c r="G115" s="34">
        <f>VLOOKUP(N112,Hodnoty!A47:D48,4,TRUE)</f>
        <v>0.19</v>
      </c>
      <c r="H115" s="28"/>
      <c r="I115" s="28"/>
      <c r="J115" s="28"/>
      <c r="K115" s="28"/>
      <c r="L115" s="46"/>
      <c r="M115" s="29"/>
      <c r="N115" s="30"/>
      <c r="O115" s="30"/>
    </row>
    <row r="116" spans="1:18" ht="18">
      <c r="A116" s="28"/>
      <c r="B116" s="28" t="s">
        <v>305</v>
      </c>
      <c r="C116" s="28"/>
      <c r="D116" s="28"/>
      <c r="E116" s="33" t="s">
        <v>306</v>
      </c>
      <c r="F116" s="34" t="s">
        <v>67</v>
      </c>
      <c r="G116" s="47">
        <f>1*0.7*G98/1.5</f>
        <v>1.3361804363533849</v>
      </c>
      <c r="H116" s="28" t="s">
        <v>69</v>
      </c>
      <c r="I116" s="84" t="s">
        <v>312</v>
      </c>
      <c r="J116" s="28"/>
      <c r="K116" s="28"/>
      <c r="L116" s="46" t="s">
        <v>294</v>
      </c>
      <c r="M116" s="29"/>
      <c r="N116" s="30"/>
      <c r="O116" s="30"/>
    </row>
    <row r="117" spans="1:18" ht="18">
      <c r="A117" s="28"/>
      <c r="B117" s="28" t="s">
        <v>313</v>
      </c>
      <c r="C117" s="28"/>
      <c r="D117" s="28"/>
      <c r="E117" s="33" t="s">
        <v>315</v>
      </c>
      <c r="F117" s="34" t="s">
        <v>67</v>
      </c>
      <c r="G117" s="47">
        <f>G112*G113*G116</f>
        <v>4.2757773963308319</v>
      </c>
      <c r="H117" s="28" t="s">
        <v>69</v>
      </c>
      <c r="I117" s="84" t="s">
        <v>316</v>
      </c>
      <c r="J117" s="28"/>
      <c r="K117" s="28"/>
      <c r="L117" s="46" t="s">
        <v>317</v>
      </c>
    </row>
    <row r="118" spans="1:18" ht="18">
      <c r="A118" s="28"/>
      <c r="B118" s="28" t="s">
        <v>318</v>
      </c>
      <c r="C118" s="28"/>
      <c r="D118" s="28"/>
      <c r="E118" s="33" t="s">
        <v>287</v>
      </c>
      <c r="F118" s="34" t="s">
        <v>67</v>
      </c>
      <c r="G118" s="34">
        <f>G60</f>
        <v>1351.5</v>
      </c>
      <c r="H118" s="28" t="s">
        <v>69</v>
      </c>
      <c r="I118" s="28"/>
      <c r="J118" s="28"/>
      <c r="K118" s="28"/>
      <c r="L118" s="28"/>
      <c r="M118" s="29"/>
      <c r="N118" s="30">
        <v>9.3000000000000007</v>
      </c>
      <c r="O118" s="30">
        <v>12.5</v>
      </c>
      <c r="P118" s="30">
        <v>12.9</v>
      </c>
      <c r="Q118" s="30">
        <v>15.2</v>
      </c>
      <c r="R118" s="30">
        <v>15.7</v>
      </c>
    </row>
    <row r="119" spans="1:18" ht="18" customHeight="1">
      <c r="A119" s="28"/>
      <c r="B119" s="28" t="s">
        <v>326</v>
      </c>
      <c r="C119" s="28"/>
      <c r="D119" s="28"/>
      <c r="E119" s="48" t="s">
        <v>338</v>
      </c>
      <c r="F119" s="34" t="s">
        <v>67</v>
      </c>
      <c r="G119" s="34">
        <f>G17</f>
        <v>12.5</v>
      </c>
      <c r="H119" s="28" t="s">
        <v>80</v>
      </c>
      <c r="I119" s="28"/>
      <c r="J119" s="28"/>
      <c r="K119" s="28"/>
      <c r="L119" s="28"/>
      <c r="M119" s="29" t="s">
        <v>325</v>
      </c>
      <c r="N119" s="30">
        <f>IF($G$119=N118,1,0)</f>
        <v>0</v>
      </c>
      <c r="O119" s="30">
        <f>IF($G$119=O118,1,0)</f>
        <v>1</v>
      </c>
      <c r="P119" s="30">
        <f>IF($G$119=P118,1,0)</f>
        <v>0</v>
      </c>
      <c r="Q119" s="30">
        <f>IF($G$119=Q118,1,0)</f>
        <v>0</v>
      </c>
      <c r="R119" s="30">
        <f>IF($G$119=R118,1,0)</f>
        <v>0</v>
      </c>
    </row>
    <row r="120" spans="1:18" ht="18">
      <c r="A120" s="28"/>
      <c r="B120" s="28" t="s">
        <v>327</v>
      </c>
      <c r="C120" s="28"/>
      <c r="D120" s="28"/>
      <c r="E120" s="48" t="s">
        <v>339</v>
      </c>
      <c r="F120" s="34" t="s">
        <v>67</v>
      </c>
      <c r="G120" s="34">
        <f>G23</f>
        <v>12.5</v>
      </c>
      <c r="H120" s="28" t="s">
        <v>80</v>
      </c>
      <c r="I120" s="28"/>
      <c r="J120" s="28"/>
      <c r="K120" s="28"/>
      <c r="L120" s="28"/>
      <c r="M120" s="29"/>
      <c r="N120" s="30">
        <f>IF($G$120=N118,1,0)</f>
        <v>0</v>
      </c>
      <c r="O120" s="30">
        <f>IF($G$120=O118,1,0)</f>
        <v>1</v>
      </c>
      <c r="P120" s="30">
        <f>IF($G$120=P118,1,0)</f>
        <v>0</v>
      </c>
      <c r="Q120" s="30">
        <f>IF($G$120=Q118,1,0)</f>
        <v>0</v>
      </c>
      <c r="R120" s="30">
        <f>IF($G$120=R118,1,0)</f>
        <v>0</v>
      </c>
    </row>
    <row r="121" spans="1:18" ht="18">
      <c r="A121" s="28"/>
      <c r="B121" s="28" t="s">
        <v>328</v>
      </c>
      <c r="C121" s="28"/>
      <c r="D121" s="28"/>
      <c r="E121" s="48" t="s">
        <v>340</v>
      </c>
      <c r="F121" s="34" t="s">
        <v>67</v>
      </c>
      <c r="G121" s="34">
        <f>G29</f>
        <v>9.3000000000000007</v>
      </c>
      <c r="H121" s="28" t="s">
        <v>80</v>
      </c>
      <c r="I121" s="28"/>
      <c r="J121" s="28"/>
      <c r="K121" s="28"/>
      <c r="L121" s="28"/>
      <c r="M121" s="29"/>
      <c r="N121" s="30">
        <f>IF($G$121=N118,1,0)</f>
        <v>1</v>
      </c>
      <c r="O121" s="30">
        <f>IF($G$121=O118,1,0)</f>
        <v>0</v>
      </c>
      <c r="P121" s="30">
        <f>IF($G$121=P118,1,0)</f>
        <v>0</v>
      </c>
      <c r="Q121" s="30">
        <f>IF($G$121=Q118,1,0)</f>
        <v>0</v>
      </c>
      <c r="R121" s="30">
        <f>IF($G$121=R118,1,0)</f>
        <v>0</v>
      </c>
    </row>
    <row r="122" spans="1:18" ht="16.5">
      <c r="A122" s="28"/>
      <c r="B122" s="28" t="s">
        <v>329</v>
      </c>
      <c r="C122" s="28"/>
      <c r="D122" s="28"/>
      <c r="E122" s="48"/>
      <c r="F122" s="34"/>
      <c r="G122" s="34" t="str">
        <f>IF(N123=1,"jeden typ průměru",IF(N124=1,"dva typy průměrů",IF(N125=1,"tři typy průměrů",0)))</f>
        <v>dva typy průměrů</v>
      </c>
      <c r="H122" s="28"/>
      <c r="I122" s="28"/>
      <c r="J122" s="28"/>
      <c r="K122" s="28"/>
      <c r="L122" s="28"/>
      <c r="M122" s="29" t="s">
        <v>330</v>
      </c>
      <c r="N122" s="30">
        <f>SUM(N119:N121)</f>
        <v>1</v>
      </c>
      <c r="O122" s="30">
        <f>SUM(O119:O121)</f>
        <v>2</v>
      </c>
      <c r="P122" s="30">
        <f>SUM(P119:P121)</f>
        <v>0</v>
      </c>
      <c r="Q122" s="30">
        <f>SUM(Q119:Q121)</f>
        <v>0</v>
      </c>
      <c r="R122" s="30">
        <f>SUM(R119:R121)</f>
        <v>0</v>
      </c>
    </row>
    <row r="123" spans="1:18" ht="18.75">
      <c r="A123" s="28"/>
      <c r="B123" s="28" t="s">
        <v>334</v>
      </c>
      <c r="C123" s="28"/>
      <c r="D123" s="28"/>
      <c r="E123" s="33" t="s">
        <v>336</v>
      </c>
      <c r="F123" s="34" t="s">
        <v>67</v>
      </c>
      <c r="G123" s="37">
        <f>$G$114*$G$115*G119*$G$118/$G$117</f>
        <v>938.37102662150767</v>
      </c>
      <c r="H123" s="28" t="s">
        <v>80</v>
      </c>
      <c r="I123" s="84" t="s">
        <v>320</v>
      </c>
      <c r="J123" s="28"/>
      <c r="K123" s="28"/>
      <c r="L123" s="46" t="s">
        <v>319</v>
      </c>
      <c r="M123" s="29" t="s">
        <v>331</v>
      </c>
      <c r="N123" s="30">
        <f>IF(N122=3,1,IF(O122=3,1,IF(P122=3,1,IF(Q122=3,1,IF(R122=3,1,0)))))</f>
        <v>0</v>
      </c>
      <c r="O123" s="30"/>
      <c r="P123" s="30"/>
      <c r="Q123" s="30"/>
      <c r="R123" s="30"/>
    </row>
    <row r="124" spans="1:18" ht="18.75">
      <c r="A124" s="28"/>
      <c r="B124" s="28" t="s">
        <v>335</v>
      </c>
      <c r="C124" s="28"/>
      <c r="D124" s="28"/>
      <c r="E124" s="33" t="s">
        <v>337</v>
      </c>
      <c r="F124" s="34" t="s">
        <v>67</v>
      </c>
      <c r="G124" s="37">
        <f>$G$114*$G$115*G121*$G$118/$G$117</f>
        <v>698.1480438064018</v>
      </c>
      <c r="H124" s="28" t="s">
        <v>80</v>
      </c>
      <c r="I124" s="28"/>
      <c r="J124" s="28"/>
      <c r="K124" s="28"/>
      <c r="L124" s="28"/>
      <c r="M124" s="29" t="s">
        <v>332</v>
      </c>
      <c r="N124" s="30">
        <f>IF(N122=2,1,IF(O122=2,1,IF(P122=2,1,IF(Q122=2,1,IF(R122=2,1,0)))))</f>
        <v>1</v>
      </c>
      <c r="O124" s="30"/>
      <c r="P124" s="30"/>
      <c r="Q124" s="30"/>
      <c r="R124" s="30"/>
    </row>
    <row r="125" spans="1:18" ht="18.75">
      <c r="A125" s="28"/>
      <c r="B125" s="89" t="s">
        <v>344</v>
      </c>
      <c r="C125" s="28"/>
      <c r="D125" s="28"/>
      <c r="E125" s="72" t="s">
        <v>348</v>
      </c>
      <c r="F125" s="73" t="s">
        <v>67</v>
      </c>
      <c r="G125" s="90">
        <f>0.8*G123</f>
        <v>750.69682129720616</v>
      </c>
      <c r="H125" s="71" t="s">
        <v>80</v>
      </c>
      <c r="I125" s="84" t="s">
        <v>341</v>
      </c>
      <c r="J125" s="28"/>
      <c r="K125" s="28"/>
      <c r="L125" s="46" t="s">
        <v>342</v>
      </c>
      <c r="M125" s="29" t="s">
        <v>333</v>
      </c>
      <c r="N125" s="30">
        <f>IF(N123=N124,1,0)</f>
        <v>0</v>
      </c>
      <c r="O125" s="30"/>
      <c r="P125" s="30"/>
      <c r="Q125" s="30"/>
      <c r="R125" s="30"/>
    </row>
    <row r="126" spans="1:18" ht="18.75">
      <c r="A126" s="28"/>
      <c r="B126" s="89" t="s">
        <v>345</v>
      </c>
      <c r="C126" s="28"/>
      <c r="D126" s="28"/>
      <c r="E126" s="72" t="s">
        <v>349</v>
      </c>
      <c r="F126" s="73" t="s">
        <v>67</v>
      </c>
      <c r="G126" s="90">
        <f>0.8*G124</f>
        <v>558.51843504512146</v>
      </c>
      <c r="H126" s="71" t="s">
        <v>80</v>
      </c>
      <c r="I126" s="28"/>
      <c r="J126" s="28"/>
      <c r="K126" s="28"/>
      <c r="L126" s="28"/>
      <c r="M126" s="29"/>
      <c r="N126" s="30"/>
      <c r="O126" s="30"/>
      <c r="P126" s="30"/>
      <c r="Q126" s="30"/>
      <c r="R126" s="30"/>
    </row>
    <row r="127" spans="1:18" ht="18.75">
      <c r="A127" s="28"/>
      <c r="B127" s="89" t="s">
        <v>346</v>
      </c>
      <c r="C127" s="28"/>
      <c r="D127" s="28"/>
      <c r="E127" s="72" t="s">
        <v>350</v>
      </c>
      <c r="F127" s="73" t="s">
        <v>67</v>
      </c>
      <c r="G127" s="90">
        <f>1.2*G123</f>
        <v>1126.0452319458091</v>
      </c>
      <c r="H127" s="71" t="s">
        <v>80</v>
      </c>
      <c r="I127" s="84" t="s">
        <v>904</v>
      </c>
      <c r="J127" s="28"/>
      <c r="K127" s="28"/>
      <c r="L127" s="46" t="s">
        <v>343</v>
      </c>
      <c r="M127" s="29"/>
      <c r="N127" s="30"/>
      <c r="O127" s="30"/>
      <c r="P127" s="30"/>
      <c r="Q127" s="30"/>
      <c r="R127" s="30"/>
    </row>
    <row r="128" spans="1:18" ht="18.75">
      <c r="A128" s="28"/>
      <c r="B128" s="89" t="s">
        <v>347</v>
      </c>
      <c r="C128" s="28"/>
      <c r="D128" s="28"/>
      <c r="E128" s="72" t="s">
        <v>351</v>
      </c>
      <c r="F128" s="73" t="s">
        <v>67</v>
      </c>
      <c r="G128" s="90">
        <f>1.2*G124</f>
        <v>837.77765256768214</v>
      </c>
      <c r="H128" s="71" t="s">
        <v>80</v>
      </c>
      <c r="I128" s="28"/>
      <c r="J128" s="28"/>
      <c r="K128" s="28"/>
      <c r="L128" s="28"/>
      <c r="M128" s="29"/>
      <c r="N128" s="30"/>
      <c r="O128" s="30"/>
      <c r="P128" s="30"/>
      <c r="Q128" s="30"/>
      <c r="R128" s="30"/>
    </row>
    <row r="129" spans="1:18" ht="18" customHeight="1">
      <c r="A129" s="28"/>
      <c r="B129" s="28" t="s">
        <v>352</v>
      </c>
      <c r="C129" s="28"/>
      <c r="D129" s="28"/>
      <c r="E129" s="33" t="s">
        <v>353</v>
      </c>
      <c r="F129" s="34" t="s">
        <v>67</v>
      </c>
      <c r="G129" s="28">
        <f>POWER(POWER(G123,2)+POWER((G83*1000+G81*1000),2),0.5)</f>
        <v>992.02724606090328</v>
      </c>
      <c r="H129" s="28" t="s">
        <v>80</v>
      </c>
      <c r="I129" s="84"/>
      <c r="J129" s="28"/>
      <c r="K129" s="28"/>
      <c r="L129" s="46" t="s">
        <v>354</v>
      </c>
      <c r="M129" s="29"/>
      <c r="N129" s="30"/>
      <c r="O129" s="30"/>
      <c r="P129" s="30"/>
      <c r="Q129" s="30"/>
      <c r="R129" s="30"/>
    </row>
    <row r="130" spans="1:18" ht="8.2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9"/>
      <c r="N130" s="30"/>
      <c r="O130" s="30"/>
    </row>
    <row r="131" spans="1:18" ht="16.5">
      <c r="A131" s="91" t="s">
        <v>915</v>
      </c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29"/>
      <c r="N131" s="30"/>
      <c r="O131" s="30"/>
    </row>
    <row r="132" spans="1:18" ht="7.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30"/>
      <c r="N132" s="30"/>
      <c r="O132" s="30"/>
    </row>
    <row r="133" spans="1:18" ht="16.5">
      <c r="A133" s="71" t="s">
        <v>422</v>
      </c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30"/>
      <c r="N133" s="30"/>
      <c r="O133" s="30"/>
    </row>
    <row r="134" spans="1:18" ht="16.5">
      <c r="A134" s="71"/>
      <c r="B134" s="27" t="s">
        <v>218</v>
      </c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30"/>
      <c r="N134" s="30"/>
      <c r="O134" s="30"/>
    </row>
    <row r="135" spans="1:18" ht="18">
      <c r="A135" s="28"/>
      <c r="B135" s="71" t="s">
        <v>152</v>
      </c>
      <c r="C135" s="28"/>
      <c r="D135" s="28"/>
      <c r="E135" s="72" t="s">
        <v>222</v>
      </c>
      <c r="F135" s="73" t="s">
        <v>67</v>
      </c>
      <c r="G135" s="93">
        <v>0</v>
      </c>
      <c r="H135" s="71" t="s">
        <v>69</v>
      </c>
      <c r="I135" s="28"/>
      <c r="J135" s="28"/>
      <c r="K135" s="28"/>
      <c r="L135" s="46" t="s">
        <v>148</v>
      </c>
      <c r="M135" s="30"/>
      <c r="N135" s="30"/>
      <c r="O135" s="30"/>
    </row>
    <row r="136" spans="1:18" ht="7.5" customHeight="1">
      <c r="A136" s="28"/>
      <c r="B136" s="28"/>
      <c r="C136" s="28"/>
      <c r="D136" s="28"/>
      <c r="E136" s="33"/>
      <c r="F136" s="28"/>
      <c r="G136" s="28"/>
      <c r="H136" s="28"/>
      <c r="I136" s="28"/>
      <c r="J136" s="28"/>
      <c r="K136" s="28"/>
      <c r="L136" s="28"/>
      <c r="M136" s="30"/>
      <c r="N136" s="30"/>
      <c r="O136" s="30"/>
    </row>
    <row r="137" spans="1:18" ht="16.5">
      <c r="A137" s="71" t="s">
        <v>423</v>
      </c>
      <c r="B137" s="28"/>
      <c r="C137" s="28"/>
      <c r="D137" s="28"/>
      <c r="E137" s="33"/>
      <c r="F137" s="28"/>
      <c r="G137" s="28"/>
      <c r="H137" s="28"/>
      <c r="I137" s="28"/>
      <c r="J137" s="28"/>
      <c r="K137" s="28"/>
      <c r="L137" s="28"/>
      <c r="M137" s="30"/>
      <c r="N137" s="30"/>
      <c r="O137" s="30"/>
    </row>
    <row r="138" spans="1:18" ht="18">
      <c r="A138" s="28"/>
      <c r="B138" s="27" t="s">
        <v>149</v>
      </c>
      <c r="C138" s="28"/>
      <c r="D138" s="28"/>
      <c r="E138" s="33" t="s">
        <v>150</v>
      </c>
      <c r="F138" s="34" t="s">
        <v>67</v>
      </c>
      <c r="G138" s="94">
        <v>3.5</v>
      </c>
      <c r="H138" s="28" t="s">
        <v>80</v>
      </c>
      <c r="I138" s="84" t="s">
        <v>253</v>
      </c>
      <c r="J138" s="28"/>
      <c r="K138" s="28"/>
      <c r="L138" s="28"/>
      <c r="M138" s="30"/>
      <c r="N138" s="30"/>
      <c r="O138" s="30"/>
    </row>
    <row r="139" spans="1:18" ht="18" customHeight="1">
      <c r="A139" s="28"/>
      <c r="B139" s="71" t="s">
        <v>151</v>
      </c>
      <c r="C139" s="28"/>
      <c r="D139" s="28"/>
      <c r="E139" s="72" t="s">
        <v>223</v>
      </c>
      <c r="F139" s="73" t="s">
        <v>67</v>
      </c>
      <c r="G139" s="95">
        <f>-G57*G138/G10</f>
        <v>-7.109375</v>
      </c>
      <c r="H139" s="71" t="s">
        <v>69</v>
      </c>
      <c r="I139" s="28"/>
      <c r="J139" s="28"/>
      <c r="K139" s="28"/>
      <c r="L139" s="28"/>
      <c r="M139" s="30"/>
      <c r="N139" s="30"/>
      <c r="O139" s="30"/>
    </row>
    <row r="140" spans="1:18" ht="7.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30"/>
      <c r="N140" s="30"/>
      <c r="O140" s="30"/>
    </row>
    <row r="141" spans="1:18" ht="16.5">
      <c r="A141" s="71" t="s">
        <v>424</v>
      </c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30"/>
      <c r="N141" s="30"/>
      <c r="O141" s="30"/>
    </row>
    <row r="142" spans="1:18" ht="16.5">
      <c r="A142" s="45"/>
      <c r="B142" s="27" t="s">
        <v>218</v>
      </c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30"/>
      <c r="N142" s="30"/>
      <c r="O142" s="30"/>
    </row>
    <row r="143" spans="1:18" ht="18">
      <c r="A143" s="45"/>
      <c r="B143" s="71" t="s">
        <v>152</v>
      </c>
      <c r="C143" s="28"/>
      <c r="D143" s="28"/>
      <c r="E143" s="96" t="s">
        <v>224</v>
      </c>
      <c r="F143" s="73" t="s">
        <v>67</v>
      </c>
      <c r="G143" s="93">
        <v>0</v>
      </c>
      <c r="H143" s="71" t="s">
        <v>69</v>
      </c>
      <c r="I143" s="28"/>
      <c r="J143" s="28"/>
      <c r="K143" s="28"/>
      <c r="L143" s="28"/>
      <c r="M143" s="30"/>
      <c r="N143" s="30"/>
      <c r="O143" s="30"/>
    </row>
    <row r="144" spans="1:18" ht="7.5" customHeight="1">
      <c r="A144" s="45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30"/>
      <c r="N144" s="30"/>
    </row>
    <row r="145" spans="1:14" ht="16.5">
      <c r="A145" s="71" t="s">
        <v>425</v>
      </c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30"/>
      <c r="N145" s="30"/>
    </row>
    <row r="146" spans="1:14" ht="18">
      <c r="A146" s="45"/>
      <c r="B146" s="27" t="s">
        <v>219</v>
      </c>
      <c r="C146" s="28"/>
      <c r="D146" s="28"/>
      <c r="E146" s="33" t="s">
        <v>252</v>
      </c>
      <c r="F146" s="34" t="s">
        <v>67</v>
      </c>
      <c r="G146" s="94">
        <v>5</v>
      </c>
      <c r="H146" s="28" t="s">
        <v>80</v>
      </c>
      <c r="I146" s="28"/>
      <c r="J146" s="28"/>
      <c r="K146" s="28"/>
      <c r="L146" s="28"/>
      <c r="M146" s="30"/>
    </row>
    <row r="147" spans="1:14" ht="16.5">
      <c r="A147" s="45"/>
      <c r="B147" s="28" t="s">
        <v>220</v>
      </c>
      <c r="C147" s="28"/>
      <c r="D147" s="28"/>
      <c r="E147" s="34" t="s">
        <v>98</v>
      </c>
      <c r="F147" s="34" t="s">
        <v>67</v>
      </c>
      <c r="G147" s="34">
        <f>G18+G24+G30</f>
        <v>16</v>
      </c>
      <c r="H147" s="49" t="s">
        <v>100</v>
      </c>
      <c r="I147" s="28"/>
      <c r="J147" s="28"/>
      <c r="K147" s="28"/>
      <c r="L147" s="28"/>
      <c r="M147" s="30"/>
    </row>
    <row r="148" spans="1:14" ht="18">
      <c r="A148" s="45"/>
      <c r="B148" s="71" t="s">
        <v>221</v>
      </c>
      <c r="C148" s="28"/>
      <c r="D148" s="28"/>
      <c r="E148" s="96" t="s">
        <v>225</v>
      </c>
      <c r="F148" s="73" t="s">
        <v>67</v>
      </c>
      <c r="G148" s="95">
        <f>-G57*(G146*(G147-1))/(G10*2*G147)</f>
        <v>-4.7607421875</v>
      </c>
      <c r="H148" s="71" t="s">
        <v>69</v>
      </c>
      <c r="I148" s="28"/>
      <c r="J148" s="28"/>
      <c r="K148" s="28"/>
      <c r="L148" s="28"/>
      <c r="M148" s="30"/>
    </row>
    <row r="149" spans="1:14" ht="7.5" customHeight="1">
      <c r="A149" s="45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30"/>
    </row>
    <row r="150" spans="1:14" ht="16.5">
      <c r="A150" s="71" t="s">
        <v>426</v>
      </c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30"/>
    </row>
    <row r="151" spans="1:14" ht="16.5">
      <c r="A151" s="45"/>
      <c r="B151" s="27" t="s">
        <v>218</v>
      </c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30"/>
    </row>
    <row r="152" spans="1:14" ht="18">
      <c r="A152" s="45"/>
      <c r="B152" s="71" t="s">
        <v>227</v>
      </c>
      <c r="C152" s="28"/>
      <c r="D152" s="28"/>
      <c r="E152" s="96" t="s">
        <v>226</v>
      </c>
      <c r="F152" s="73" t="s">
        <v>67</v>
      </c>
      <c r="G152" s="93">
        <v>0</v>
      </c>
      <c r="H152" s="71" t="s">
        <v>69</v>
      </c>
      <c r="I152" s="28"/>
      <c r="J152" s="28"/>
      <c r="K152" s="28"/>
      <c r="L152" s="28"/>
      <c r="M152" s="30"/>
    </row>
    <row r="153" spans="1:14" ht="7.5" customHeight="1">
      <c r="A153" s="45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30"/>
    </row>
    <row r="154" spans="1:14" ht="16.5">
      <c r="A154" s="71" t="s">
        <v>427</v>
      </c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30"/>
    </row>
    <row r="155" spans="1:14" ht="16.5">
      <c r="A155" s="45"/>
      <c r="B155" s="27" t="s">
        <v>218</v>
      </c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30"/>
    </row>
    <row r="156" spans="1:14" ht="18">
      <c r="A156" s="45"/>
      <c r="B156" s="71" t="s">
        <v>227</v>
      </c>
      <c r="C156" s="28"/>
      <c r="D156" s="28"/>
      <c r="E156" s="96" t="s">
        <v>228</v>
      </c>
      <c r="F156" s="73" t="s">
        <v>67</v>
      </c>
      <c r="G156" s="93">
        <v>0</v>
      </c>
      <c r="H156" s="71" t="s">
        <v>69</v>
      </c>
      <c r="I156" s="28"/>
      <c r="J156" s="28"/>
      <c r="K156" s="28"/>
      <c r="L156" s="28"/>
      <c r="M156" s="30"/>
    </row>
    <row r="157" spans="1:14" ht="7.5" customHeight="1">
      <c r="A157" s="45"/>
      <c r="B157" s="28"/>
      <c r="C157" s="28"/>
      <c r="D157" s="28"/>
      <c r="E157" s="96"/>
      <c r="F157" s="73"/>
      <c r="G157" s="90"/>
      <c r="H157" s="71"/>
      <c r="I157" s="28"/>
      <c r="J157" s="28"/>
      <c r="K157" s="28"/>
      <c r="L157" s="28"/>
      <c r="M157" s="30"/>
    </row>
    <row r="158" spans="1:14" ht="16.5">
      <c r="A158" s="71" t="s">
        <v>428</v>
      </c>
      <c r="B158" s="28"/>
      <c r="C158" s="28"/>
      <c r="D158" s="28"/>
      <c r="E158" s="96"/>
      <c r="F158" s="73"/>
      <c r="G158" s="90"/>
      <c r="H158" s="71"/>
      <c r="I158" s="28"/>
      <c r="J158" s="28"/>
      <c r="K158" s="28"/>
      <c r="L158" s="28"/>
      <c r="M158" s="30"/>
    </row>
    <row r="159" spans="1:14" ht="18">
      <c r="A159" s="28"/>
      <c r="B159" s="28" t="s">
        <v>229</v>
      </c>
      <c r="C159" s="28"/>
      <c r="D159" s="28"/>
      <c r="E159" s="48" t="s">
        <v>230</v>
      </c>
      <c r="F159" s="34" t="s">
        <v>67</v>
      </c>
      <c r="G159" s="37">
        <f>G62+G135+G139+G143+G148+G152+G156</f>
        <v>1181.1298828125</v>
      </c>
      <c r="H159" s="28" t="s">
        <v>69</v>
      </c>
      <c r="I159" s="84"/>
      <c r="J159" s="28"/>
      <c r="K159" s="28"/>
      <c r="L159" s="28"/>
      <c r="M159" s="30"/>
    </row>
    <row r="160" spans="1:14" ht="18">
      <c r="A160" s="28"/>
      <c r="B160" s="28" t="s">
        <v>231</v>
      </c>
      <c r="C160" s="28"/>
      <c r="D160" s="28"/>
      <c r="E160" s="48" t="s">
        <v>232</v>
      </c>
      <c r="F160" s="34" t="s">
        <v>67</v>
      </c>
      <c r="G160" s="37">
        <v>0</v>
      </c>
      <c r="H160" s="28" t="s">
        <v>233</v>
      </c>
      <c r="I160" s="28"/>
      <c r="J160" s="28"/>
      <c r="K160" s="28"/>
      <c r="L160" s="28"/>
      <c r="M160" s="97" t="s">
        <v>918</v>
      </c>
    </row>
    <row r="161" spans="1:13" ht="18">
      <c r="A161" s="28"/>
      <c r="B161" s="28" t="s">
        <v>242</v>
      </c>
      <c r="C161" s="28"/>
      <c r="D161" s="28"/>
      <c r="E161" s="33" t="s">
        <v>138</v>
      </c>
      <c r="F161" s="34" t="s">
        <v>67</v>
      </c>
      <c r="G161" s="37">
        <f>G89*24</f>
        <v>115.19999999999999</v>
      </c>
      <c r="H161" s="28" t="s">
        <v>243</v>
      </c>
      <c r="I161" s="28"/>
      <c r="J161" s="28"/>
      <c r="K161" s="28"/>
      <c r="L161" s="28"/>
      <c r="M161" s="30"/>
    </row>
    <row r="162" spans="1:13" ht="16.5">
      <c r="A162" s="28"/>
      <c r="B162" s="28" t="s">
        <v>241</v>
      </c>
      <c r="C162" s="28"/>
      <c r="D162" s="28"/>
      <c r="E162" s="48"/>
      <c r="F162" s="34"/>
      <c r="G162" s="98">
        <v>2</v>
      </c>
      <c r="H162" s="28"/>
      <c r="I162" s="28"/>
      <c r="J162" s="28"/>
      <c r="K162" s="28"/>
      <c r="L162" s="28"/>
      <c r="M162" s="30"/>
    </row>
    <row r="163" spans="1:13" ht="18">
      <c r="A163" s="28"/>
      <c r="B163" s="86" t="s">
        <v>234</v>
      </c>
      <c r="C163" s="28"/>
      <c r="D163" s="28"/>
      <c r="E163" s="48" t="s">
        <v>235</v>
      </c>
      <c r="F163" s="34" t="s">
        <v>67</v>
      </c>
      <c r="G163" s="99">
        <v>2.5</v>
      </c>
      <c r="H163" s="28" t="s">
        <v>236</v>
      </c>
      <c r="I163" s="28"/>
      <c r="J163" s="28"/>
      <c r="K163" s="28"/>
      <c r="L163" s="28"/>
      <c r="M163" s="30"/>
    </row>
    <row r="164" spans="1:13" ht="18">
      <c r="A164" s="28"/>
      <c r="B164" s="28"/>
      <c r="C164" s="28"/>
      <c r="D164" s="28"/>
      <c r="E164" s="100" t="s">
        <v>98</v>
      </c>
      <c r="F164" s="34" t="s">
        <v>67</v>
      </c>
      <c r="G164" s="47">
        <f>G159/G53</f>
        <v>0.6350160660282258</v>
      </c>
      <c r="H164" s="28"/>
      <c r="I164" s="101" t="s">
        <v>237</v>
      </c>
      <c r="J164" s="28"/>
      <c r="K164" s="28"/>
      <c r="L164" s="46" t="s">
        <v>240</v>
      </c>
      <c r="M164" s="30"/>
    </row>
    <row r="165" spans="1:13" ht="18">
      <c r="A165" s="28"/>
      <c r="B165" s="71" t="s">
        <v>238</v>
      </c>
      <c r="C165" s="28"/>
      <c r="D165" s="28"/>
      <c r="E165" s="96" t="s">
        <v>239</v>
      </c>
      <c r="F165" s="73" t="s">
        <v>67</v>
      </c>
      <c r="G165" s="95">
        <f>-G159*0.66*G163*EXP(9.1*G164)*POWER(G161/1000,0.75*(1-G164))*0.00001</f>
        <v>-3.4873833094781834</v>
      </c>
      <c r="H165" s="71" t="s">
        <v>69</v>
      </c>
      <c r="I165" s="28"/>
      <c r="J165" s="28"/>
      <c r="K165" s="28"/>
      <c r="L165" s="28"/>
      <c r="M165" s="30"/>
    </row>
    <row r="166" spans="1:13" ht="16.5">
      <c r="A166" s="28"/>
      <c r="B166" s="28"/>
      <c r="C166" s="28"/>
      <c r="D166" s="28"/>
      <c r="E166" s="48"/>
      <c r="F166" s="34"/>
      <c r="G166" s="37"/>
      <c r="H166" s="28"/>
      <c r="I166" s="28"/>
      <c r="J166" s="28"/>
      <c r="K166" s="28"/>
      <c r="L166" s="28"/>
      <c r="M166" s="30"/>
    </row>
    <row r="167" spans="1:13" ht="16.5">
      <c r="A167" s="71" t="s">
        <v>429</v>
      </c>
      <c r="B167" s="28"/>
      <c r="C167" s="28"/>
      <c r="D167" s="28"/>
      <c r="E167" s="48"/>
      <c r="F167" s="34"/>
      <c r="G167" s="37"/>
      <c r="H167" s="28"/>
      <c r="I167" s="28"/>
      <c r="J167" s="28"/>
      <c r="K167" s="28"/>
      <c r="L167" s="28"/>
      <c r="M167" s="30"/>
    </row>
    <row r="168" spans="1:13" ht="18">
      <c r="A168" s="28"/>
      <c r="B168" s="28" t="s">
        <v>244</v>
      </c>
      <c r="C168" s="28"/>
      <c r="D168" s="28"/>
      <c r="E168" s="48" t="s">
        <v>258</v>
      </c>
      <c r="F168" s="34" t="s">
        <v>67</v>
      </c>
      <c r="G168" s="35">
        <v>40</v>
      </c>
      <c r="H168" s="28" t="s">
        <v>256</v>
      </c>
      <c r="I168" s="28"/>
      <c r="J168" s="28"/>
      <c r="K168" s="28"/>
      <c r="L168" s="28"/>
      <c r="M168" s="30"/>
    </row>
    <row r="169" spans="1:13" ht="18">
      <c r="A169" s="28"/>
      <c r="B169" s="28" t="s">
        <v>245</v>
      </c>
      <c r="C169" s="28"/>
      <c r="D169" s="28"/>
      <c r="E169" s="48" t="s">
        <v>257</v>
      </c>
      <c r="F169" s="34" t="s">
        <v>67</v>
      </c>
      <c r="G169" s="35">
        <v>55</v>
      </c>
      <c r="H169" s="28" t="s">
        <v>256</v>
      </c>
      <c r="I169" s="28"/>
      <c r="J169" s="28"/>
      <c r="K169" s="28"/>
      <c r="L169" s="28"/>
      <c r="M169" s="30"/>
    </row>
    <row r="170" spans="1:13" ht="18">
      <c r="A170" s="28"/>
      <c r="B170" s="28" t="s">
        <v>246</v>
      </c>
      <c r="C170" s="28"/>
      <c r="D170" s="28"/>
      <c r="E170" s="48" t="s">
        <v>255</v>
      </c>
      <c r="F170" s="34" t="s">
        <v>67</v>
      </c>
      <c r="G170" s="35">
        <v>10</v>
      </c>
      <c r="H170" s="28" t="s">
        <v>256</v>
      </c>
      <c r="I170" s="28"/>
      <c r="J170" s="28"/>
      <c r="K170" s="28"/>
      <c r="L170" s="28"/>
      <c r="M170" s="30"/>
    </row>
    <row r="171" spans="1:13" ht="18.75">
      <c r="A171" s="28"/>
      <c r="B171" s="28" t="s">
        <v>260</v>
      </c>
      <c r="C171" s="28"/>
      <c r="D171" s="28"/>
      <c r="E171" s="48" t="s">
        <v>261</v>
      </c>
      <c r="F171" s="34" t="s">
        <v>67</v>
      </c>
      <c r="G171" s="102">
        <v>1.2E-5</v>
      </c>
      <c r="H171" s="28" t="s">
        <v>254</v>
      </c>
      <c r="I171" s="28"/>
      <c r="J171" s="28"/>
      <c r="K171" s="28"/>
      <c r="L171" s="46" t="s">
        <v>73</v>
      </c>
      <c r="M171" s="30"/>
    </row>
    <row r="172" spans="1:13" ht="18.75">
      <c r="A172" s="28"/>
      <c r="B172" s="28" t="s">
        <v>247</v>
      </c>
      <c r="C172" s="28"/>
      <c r="D172" s="28"/>
      <c r="E172" s="48" t="s">
        <v>248</v>
      </c>
      <c r="F172" s="34" t="s">
        <v>67</v>
      </c>
      <c r="G172" s="103">
        <f>VLOOKUP(N52,Hodnoty!F20:K21,6,TRUE)</f>
        <v>1.2E-5</v>
      </c>
      <c r="H172" s="28" t="s">
        <v>254</v>
      </c>
      <c r="I172" s="28"/>
      <c r="J172" s="28"/>
      <c r="K172" s="28"/>
      <c r="L172" s="28"/>
      <c r="M172" s="30"/>
    </row>
    <row r="173" spans="1:13" ht="18">
      <c r="A173" s="28"/>
      <c r="B173" s="28" t="s">
        <v>249</v>
      </c>
      <c r="C173" s="28"/>
      <c r="D173" s="28"/>
      <c r="E173" s="33" t="s">
        <v>251</v>
      </c>
      <c r="F173" s="34" t="s">
        <v>67</v>
      </c>
      <c r="G173" s="37">
        <f>G10</f>
        <v>96</v>
      </c>
      <c r="H173" s="28" t="s">
        <v>98</v>
      </c>
      <c r="I173" s="28"/>
      <c r="J173" s="28"/>
      <c r="K173" s="28"/>
      <c r="L173" s="28"/>
      <c r="M173" s="30"/>
    </row>
    <row r="174" spans="1:13" ht="18">
      <c r="A174" s="28"/>
      <c r="B174" s="28" t="s">
        <v>250</v>
      </c>
      <c r="C174" s="28"/>
      <c r="D174" s="28"/>
      <c r="E174" s="33" t="s">
        <v>122</v>
      </c>
      <c r="F174" s="34" t="s">
        <v>67</v>
      </c>
      <c r="G174" s="35">
        <v>96</v>
      </c>
      <c r="H174" s="28" t="s">
        <v>98</v>
      </c>
      <c r="I174" s="28"/>
      <c r="J174" s="28"/>
      <c r="K174" s="28"/>
      <c r="L174" s="28"/>
      <c r="M174" s="30"/>
    </row>
    <row r="175" spans="1:13" ht="18">
      <c r="A175" s="28"/>
      <c r="B175" s="71" t="s">
        <v>259</v>
      </c>
      <c r="C175" s="28"/>
      <c r="D175" s="28"/>
      <c r="E175" s="96" t="s">
        <v>262</v>
      </c>
      <c r="F175" s="73" t="s">
        <v>67</v>
      </c>
      <c r="G175" s="95">
        <f>G57*1000/G174*(G171*G173*(G168-G170)-G172*G174*(G169-G170))</f>
        <v>-35.100000000000009</v>
      </c>
      <c r="H175" s="71" t="s">
        <v>69</v>
      </c>
      <c r="I175" s="28"/>
      <c r="J175" s="28"/>
      <c r="K175" s="28"/>
      <c r="L175" s="28"/>
      <c r="M175" s="30"/>
    </row>
    <row r="176" spans="1:13" ht="7.5" customHeight="1">
      <c r="A176" s="28"/>
      <c r="B176" s="28"/>
      <c r="C176" s="28"/>
      <c r="D176" s="28"/>
      <c r="E176" s="48"/>
      <c r="F176" s="34"/>
      <c r="G176" s="37"/>
      <c r="H176" s="28"/>
      <c r="I176" s="28"/>
      <c r="J176" s="28"/>
      <c r="K176" s="28"/>
      <c r="L176" s="28"/>
      <c r="M176" s="30"/>
    </row>
    <row r="177" spans="1:13" ht="16.5">
      <c r="A177" s="71" t="s">
        <v>430</v>
      </c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30"/>
    </row>
    <row r="178" spans="1:13" ht="18">
      <c r="A178" s="28"/>
      <c r="B178" s="86" t="s">
        <v>263</v>
      </c>
      <c r="C178" s="28"/>
      <c r="D178" s="28"/>
      <c r="E178" s="48" t="s">
        <v>264</v>
      </c>
      <c r="F178" s="34" t="s">
        <v>67</v>
      </c>
      <c r="G178" s="37">
        <f>G62+G135+G139+G143+G148+G152+G156+G165+G175</f>
        <v>1142.5424995030219</v>
      </c>
      <c r="H178" s="28" t="s">
        <v>69</v>
      </c>
      <c r="I178" s="28"/>
      <c r="J178" s="28"/>
      <c r="K178" s="28"/>
      <c r="L178" s="28"/>
      <c r="M178" s="30"/>
    </row>
    <row r="179" spans="1:13" ht="16.5">
      <c r="A179" s="28"/>
      <c r="B179" s="28"/>
      <c r="C179" s="28"/>
      <c r="D179" s="28"/>
      <c r="E179" s="78" t="s">
        <v>265</v>
      </c>
      <c r="F179" s="34" t="s">
        <v>67</v>
      </c>
      <c r="G179" s="34">
        <f>(G65*0.000001*G57)/(G70*G97)</f>
        <v>4.3895856896104986E-2</v>
      </c>
      <c r="H179" s="28" t="s">
        <v>199</v>
      </c>
      <c r="I179" s="28"/>
      <c r="J179" s="28"/>
      <c r="K179" s="28"/>
      <c r="L179" s="28"/>
      <c r="M179" s="30"/>
    </row>
    <row r="180" spans="1:13" ht="16.5">
      <c r="A180" s="45"/>
      <c r="B180" s="28"/>
      <c r="C180" s="28"/>
      <c r="D180" s="28"/>
      <c r="E180" s="78" t="s">
        <v>266</v>
      </c>
      <c r="F180" s="34" t="s">
        <v>67</v>
      </c>
      <c r="G180" s="104">
        <f>G179*(1+(G70*G76*G76/G72))</f>
        <v>7.7517001736487678E-2</v>
      </c>
      <c r="H180" s="28" t="s">
        <v>199</v>
      </c>
      <c r="I180" s="28"/>
      <c r="J180" s="28"/>
      <c r="K180" s="28"/>
      <c r="L180" s="28"/>
      <c r="M180" s="30"/>
    </row>
    <row r="181" spans="1:13" ht="18">
      <c r="A181" s="28"/>
      <c r="B181" s="28" t="s">
        <v>273</v>
      </c>
      <c r="C181" s="28"/>
      <c r="D181" s="28"/>
      <c r="E181" s="48" t="s">
        <v>276</v>
      </c>
      <c r="F181" s="34" t="s">
        <v>67</v>
      </c>
      <c r="G181" s="47">
        <f>-G178*G180/(1+G180)</f>
        <v>-82.194961912671616</v>
      </c>
      <c r="H181" s="28" t="s">
        <v>69</v>
      </c>
      <c r="I181" s="28"/>
      <c r="J181" s="28"/>
      <c r="K181" s="28"/>
      <c r="L181" s="28"/>
      <c r="M181" s="30"/>
    </row>
    <row r="182" spans="1:13" ht="16.5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30"/>
    </row>
    <row r="183" spans="1:13" ht="18">
      <c r="A183" s="28"/>
      <c r="B183" s="28" t="s">
        <v>355</v>
      </c>
      <c r="C183" s="28"/>
      <c r="D183" s="28"/>
      <c r="E183" s="33" t="s">
        <v>278</v>
      </c>
      <c r="F183" s="34" t="s">
        <v>67</v>
      </c>
      <c r="G183" s="47">
        <f>1/8*G70*25*G15*G15</f>
        <v>201.72806750000001</v>
      </c>
      <c r="H183" s="28" t="s">
        <v>279</v>
      </c>
      <c r="I183" s="28"/>
      <c r="J183" s="28"/>
      <c r="K183" s="28"/>
      <c r="L183" s="28"/>
      <c r="M183" s="30"/>
    </row>
    <row r="184" spans="1:13" ht="18">
      <c r="A184" s="28"/>
      <c r="B184" s="28" t="s">
        <v>275</v>
      </c>
      <c r="C184" s="28"/>
      <c r="D184" s="28"/>
      <c r="E184" s="48" t="s">
        <v>277</v>
      </c>
      <c r="F184" s="34" t="s">
        <v>67</v>
      </c>
      <c r="G184" s="47">
        <f>G183*0.001/G84*G81*G57/G97</f>
        <v>36.561479141890374</v>
      </c>
      <c r="H184" s="28" t="s">
        <v>69</v>
      </c>
      <c r="I184" s="28"/>
      <c r="J184" s="28"/>
      <c r="K184" s="28"/>
      <c r="L184" s="28"/>
    </row>
    <row r="185" spans="1:13" ht="16.5">
      <c r="A185" s="28"/>
      <c r="B185" s="71" t="s">
        <v>280</v>
      </c>
      <c r="C185" s="28"/>
      <c r="D185" s="28"/>
      <c r="E185" s="28"/>
      <c r="F185" s="28"/>
      <c r="G185" s="28"/>
      <c r="H185" s="28"/>
      <c r="I185" s="28"/>
      <c r="J185" s="28"/>
      <c r="K185" s="28"/>
      <c r="L185" s="28"/>
    </row>
    <row r="186" spans="1:13" ht="18">
      <c r="A186" s="28"/>
      <c r="B186" s="28"/>
      <c r="C186" s="28"/>
      <c r="D186" s="28"/>
      <c r="E186" s="96" t="s">
        <v>274</v>
      </c>
      <c r="F186" s="73" t="s">
        <v>67</v>
      </c>
      <c r="G186" s="95">
        <f>G181+G184</f>
        <v>-45.633482770781242</v>
      </c>
      <c r="H186" s="71" t="s">
        <v>69</v>
      </c>
      <c r="I186" s="28"/>
      <c r="J186" s="28"/>
      <c r="K186" s="28"/>
      <c r="L186" s="28"/>
    </row>
    <row r="187" spans="1:13" ht="7.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45"/>
    </row>
    <row r="188" spans="1:13" ht="16.5">
      <c r="A188" s="71" t="s">
        <v>431</v>
      </c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</row>
    <row r="189" spans="1:13" ht="16.5">
      <c r="A189" s="71"/>
      <c r="B189" s="28" t="s">
        <v>356</v>
      </c>
      <c r="C189" s="28"/>
      <c r="D189" s="28"/>
      <c r="E189" s="28"/>
      <c r="F189" s="28"/>
      <c r="G189" s="28"/>
      <c r="H189" s="28"/>
      <c r="I189" s="28"/>
      <c r="J189" s="28"/>
      <c r="K189" s="28"/>
      <c r="L189" s="28"/>
    </row>
    <row r="190" spans="1:13" ht="18">
      <c r="A190" s="28"/>
      <c r="B190" s="86" t="s">
        <v>263</v>
      </c>
      <c r="C190" s="28"/>
      <c r="D190" s="28"/>
      <c r="E190" s="48" t="s">
        <v>264</v>
      </c>
      <c r="F190" s="34" t="s">
        <v>67</v>
      </c>
      <c r="G190" s="37">
        <f>G62+G135+G139+G143+G148+G152+G156+G165+G175</f>
        <v>1142.5424995030219</v>
      </c>
      <c r="H190" s="28" t="s">
        <v>69</v>
      </c>
      <c r="I190" s="28"/>
      <c r="J190" s="28"/>
      <c r="K190" s="28"/>
      <c r="L190" s="28"/>
    </row>
    <row r="191" spans="1:13" ht="16.5">
      <c r="A191" s="28"/>
      <c r="B191" s="28"/>
      <c r="C191" s="28"/>
      <c r="D191" s="28"/>
      <c r="E191" s="78" t="s">
        <v>265</v>
      </c>
      <c r="F191" s="34" t="s">
        <v>67</v>
      </c>
      <c r="G191" s="34">
        <f>(G65*0.000001*G57)/(G70*G97)</f>
        <v>4.3895856896104986E-2</v>
      </c>
      <c r="H191" s="28" t="s">
        <v>199</v>
      </c>
      <c r="I191" s="28"/>
      <c r="J191" s="28"/>
      <c r="K191" s="28"/>
      <c r="L191" s="28"/>
    </row>
    <row r="192" spans="1:13" ht="16.5">
      <c r="A192" s="45"/>
      <c r="B192" s="28"/>
      <c r="C192" s="28"/>
      <c r="D192" s="28"/>
      <c r="E192" s="78" t="s">
        <v>266</v>
      </c>
      <c r="F192" s="34" t="s">
        <v>67</v>
      </c>
      <c r="G192" s="80">
        <f>G179*(1+(G70*G76*G76/G72))</f>
        <v>7.7517001736487678E-2</v>
      </c>
      <c r="H192" s="28" t="s">
        <v>199</v>
      </c>
      <c r="I192" s="28"/>
      <c r="J192" s="28"/>
      <c r="K192" s="28"/>
      <c r="L192" s="28"/>
    </row>
    <row r="193" spans="1:12" ht="18">
      <c r="A193" s="28"/>
      <c r="B193" s="28" t="s">
        <v>273</v>
      </c>
      <c r="C193" s="28"/>
      <c r="D193" s="28"/>
      <c r="E193" s="48" t="s">
        <v>276</v>
      </c>
      <c r="F193" s="34" t="s">
        <v>67</v>
      </c>
      <c r="G193" s="47">
        <f>-G190*G192/(1+G192)</f>
        <v>-82.194961912671616</v>
      </c>
      <c r="H193" s="28" t="s">
        <v>69</v>
      </c>
      <c r="I193" s="28"/>
      <c r="J193" s="28"/>
      <c r="K193" s="28"/>
      <c r="L193" s="28"/>
    </row>
    <row r="194" spans="1:12" ht="16.5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</row>
    <row r="195" spans="1:12" ht="18">
      <c r="A195" s="28"/>
      <c r="B195" s="28" t="s">
        <v>364</v>
      </c>
      <c r="C195" s="28"/>
      <c r="D195" s="28"/>
      <c r="E195" s="33" t="s">
        <v>367</v>
      </c>
      <c r="F195" s="34" t="s">
        <v>67</v>
      </c>
      <c r="G195" s="47">
        <f>1/2*G70*25*G15*G125*0.001-1/2*G70*25*POWER(G125*0.001,2)</f>
        <v>32.595490851510419</v>
      </c>
      <c r="H195" s="28" t="s">
        <v>279</v>
      </c>
      <c r="I195" s="28"/>
      <c r="J195" s="28"/>
      <c r="K195" s="28"/>
      <c r="L195" s="28"/>
    </row>
    <row r="196" spans="1:12" ht="18">
      <c r="A196" s="28"/>
      <c r="B196" s="28" t="s">
        <v>275</v>
      </c>
      <c r="C196" s="28"/>
      <c r="D196" s="28"/>
      <c r="E196" s="48" t="s">
        <v>277</v>
      </c>
      <c r="F196" s="34" t="s">
        <v>67</v>
      </c>
      <c r="G196" s="47">
        <f>G195*0.001/G84*G81*G57/G97</f>
        <v>5.9076526814355006</v>
      </c>
      <c r="H196" s="28" t="s">
        <v>69</v>
      </c>
      <c r="I196" s="28"/>
      <c r="J196" s="28"/>
      <c r="K196" s="28"/>
      <c r="L196" s="28"/>
    </row>
    <row r="197" spans="1:12" ht="16.5">
      <c r="A197" s="28"/>
      <c r="B197" s="71" t="s">
        <v>280</v>
      </c>
      <c r="C197" s="28"/>
      <c r="D197" s="28"/>
      <c r="E197" s="28"/>
      <c r="F197" s="28"/>
      <c r="G197" s="28"/>
      <c r="H197" s="28"/>
      <c r="I197" s="28"/>
      <c r="J197" s="28"/>
      <c r="K197" s="28"/>
      <c r="L197" s="28"/>
    </row>
    <row r="198" spans="1:12" ht="18">
      <c r="A198" s="28"/>
      <c r="B198" s="28"/>
      <c r="C198" s="28"/>
      <c r="D198" s="28"/>
      <c r="E198" s="96" t="s">
        <v>274</v>
      </c>
      <c r="F198" s="73" t="s">
        <v>67</v>
      </c>
      <c r="G198" s="95">
        <f>G193+G196</f>
        <v>-76.287309231236122</v>
      </c>
      <c r="H198" s="71" t="s">
        <v>69</v>
      </c>
      <c r="I198" s="28"/>
      <c r="J198" s="28"/>
      <c r="K198" s="28"/>
      <c r="L198" s="28"/>
    </row>
    <row r="199" spans="1:12" ht="7.5" customHeight="1" thickBot="1">
      <c r="A199" s="28"/>
      <c r="B199" s="28"/>
      <c r="C199" s="28"/>
      <c r="D199" s="28"/>
      <c r="E199" s="96"/>
      <c r="F199" s="73"/>
      <c r="G199" s="95"/>
      <c r="H199" s="71"/>
      <c r="I199" s="28"/>
      <c r="J199" s="28"/>
      <c r="K199" s="28"/>
      <c r="L199" s="28"/>
    </row>
    <row r="200" spans="1:12" ht="16.5">
      <c r="A200" s="28"/>
      <c r="B200" s="105" t="s">
        <v>928</v>
      </c>
      <c r="C200" s="59"/>
      <c r="D200" s="59"/>
      <c r="E200" s="59"/>
      <c r="F200" s="59"/>
      <c r="G200" s="59"/>
      <c r="H200" s="59"/>
      <c r="I200" s="59"/>
      <c r="J200" s="59"/>
      <c r="K200" s="59"/>
      <c r="L200" s="106"/>
    </row>
    <row r="201" spans="1:12" ht="21">
      <c r="A201" s="28"/>
      <c r="B201" s="61" t="s">
        <v>922</v>
      </c>
      <c r="C201" s="107"/>
      <c r="D201" s="107"/>
      <c r="E201" s="108" t="s">
        <v>937</v>
      </c>
      <c r="F201" s="109" t="s">
        <v>67</v>
      </c>
      <c r="G201" s="110">
        <f>G62+G135+G139+G143+G148+G152+G156+G165+G175+G186</f>
        <v>1096.9090167322406</v>
      </c>
      <c r="H201" s="111" t="s">
        <v>69</v>
      </c>
      <c r="I201" s="62"/>
      <c r="J201" s="62"/>
      <c r="K201" s="62"/>
      <c r="L201" s="112"/>
    </row>
    <row r="202" spans="1:12" ht="21">
      <c r="A202" s="45"/>
      <c r="B202" s="61" t="s">
        <v>357</v>
      </c>
      <c r="C202" s="107"/>
      <c r="D202" s="107"/>
      <c r="E202" s="108" t="s">
        <v>938</v>
      </c>
      <c r="F202" s="109" t="s">
        <v>67</v>
      </c>
      <c r="G202" s="110">
        <f>G62+G135+G139+G143+G148+G152+G156+G165+G175+G198</f>
        <v>1066.2551902717858</v>
      </c>
      <c r="H202" s="111" t="s">
        <v>69</v>
      </c>
      <c r="I202" s="62"/>
      <c r="J202" s="62"/>
      <c r="K202" s="62"/>
      <c r="L202" s="113"/>
    </row>
    <row r="203" spans="1:12" ht="18">
      <c r="A203" s="45"/>
      <c r="B203" s="61"/>
      <c r="C203" s="62"/>
      <c r="D203" s="62"/>
      <c r="E203" s="114" t="s">
        <v>289</v>
      </c>
      <c r="F203" s="64" t="str">
        <f>IF(G203&gt;G201, "&lt;", "&gt;" )</f>
        <v>&lt;</v>
      </c>
      <c r="G203" s="64">
        <f>MIN(0.75*G53,0.85*G54)</f>
        <v>1351.5</v>
      </c>
      <c r="H203" s="62" t="s">
        <v>69</v>
      </c>
      <c r="I203" s="62" t="s">
        <v>288</v>
      </c>
      <c r="J203" s="62"/>
      <c r="K203" s="62"/>
      <c r="L203" s="66" t="s">
        <v>281</v>
      </c>
    </row>
    <row r="204" spans="1:12" ht="17.25" thickBot="1">
      <c r="A204" s="45"/>
      <c r="B204" s="67"/>
      <c r="C204" s="68"/>
      <c r="D204" s="68"/>
      <c r="E204" s="68"/>
      <c r="F204" s="68"/>
      <c r="G204" s="69" t="str">
        <f>IF(G203&gt;G201, "Předpínací síla ve výztuži po proběhnutí okamžitých ztrát splňuje podmínku dle článku 5.10.3 (2)", "Maximální napínací síla NESPLŇUJE podmínku dle článku 5.10.3 (2)" )</f>
        <v>Předpínací síla ve výztuži po proběhnutí okamžitých ztrát splňuje podmínku dle článku 5.10.3 (2)</v>
      </c>
      <c r="H204" s="68"/>
      <c r="I204" s="68"/>
      <c r="J204" s="68"/>
      <c r="K204" s="68"/>
      <c r="L204" s="70"/>
    </row>
    <row r="205" spans="1:12" ht="18.75">
      <c r="A205" s="45"/>
      <c r="B205" s="28" t="s">
        <v>123</v>
      </c>
      <c r="C205" s="28"/>
      <c r="D205" s="28"/>
      <c r="E205" s="33" t="s">
        <v>124</v>
      </c>
      <c r="F205" s="34" t="s">
        <v>67</v>
      </c>
      <c r="G205" s="37">
        <f>G20+G26+G32</f>
        <v>1365</v>
      </c>
      <c r="H205" s="28" t="s">
        <v>99</v>
      </c>
      <c r="I205" s="49" t="s">
        <v>186</v>
      </c>
      <c r="J205" s="28"/>
      <c r="K205" s="28"/>
      <c r="L205" s="33"/>
    </row>
    <row r="206" spans="1:12" ht="18">
      <c r="A206" s="45"/>
      <c r="B206" s="71" t="s">
        <v>358</v>
      </c>
      <c r="C206" s="28"/>
      <c r="D206" s="28"/>
      <c r="E206" s="45"/>
      <c r="F206" s="45"/>
      <c r="G206" s="45"/>
      <c r="H206" s="45"/>
      <c r="I206" s="45"/>
      <c r="J206" s="45"/>
      <c r="K206" s="45"/>
      <c r="L206" s="45"/>
    </row>
    <row r="207" spans="1:12" ht="18">
      <c r="A207" s="45"/>
      <c r="B207" s="45"/>
      <c r="C207" s="45"/>
      <c r="D207" s="45"/>
      <c r="E207" s="72" t="s">
        <v>920</v>
      </c>
      <c r="F207" s="73" t="s">
        <v>67</v>
      </c>
      <c r="G207" s="73">
        <f>G205*0.001*G201</f>
        <v>1497.2808078395085</v>
      </c>
      <c r="H207" s="71" t="s">
        <v>119</v>
      </c>
      <c r="I207" s="49" t="s">
        <v>114</v>
      </c>
      <c r="J207" s="28"/>
      <c r="K207" s="28"/>
      <c r="L207" s="46" t="s">
        <v>282</v>
      </c>
    </row>
    <row r="208" spans="1:12" ht="18">
      <c r="A208" s="45"/>
      <c r="B208" s="71" t="s">
        <v>359</v>
      </c>
      <c r="C208" s="45"/>
      <c r="D208" s="45"/>
      <c r="E208" s="45"/>
      <c r="F208" s="45"/>
      <c r="G208" s="45"/>
      <c r="H208" s="45"/>
      <c r="I208" s="45"/>
      <c r="J208" s="45"/>
      <c r="K208" s="45"/>
      <c r="L208" s="45"/>
    </row>
    <row r="209" spans="1:16" ht="18">
      <c r="A209" s="45"/>
      <c r="B209" s="45"/>
      <c r="C209" s="45"/>
      <c r="D209" s="45"/>
      <c r="E209" s="72" t="s">
        <v>921</v>
      </c>
      <c r="F209" s="73" t="s">
        <v>67</v>
      </c>
      <c r="G209" s="73">
        <f>G205*0.001*G202</f>
        <v>1455.4383347209875</v>
      </c>
      <c r="H209" s="71" t="s">
        <v>119</v>
      </c>
      <c r="I209" s="45"/>
      <c r="J209" s="45"/>
      <c r="K209" s="45"/>
      <c r="L209" s="45"/>
    </row>
    <row r="210" spans="1:16" ht="7.5" customHeight="1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</row>
    <row r="211" spans="1:16" ht="19.5" thickBot="1">
      <c r="A211" s="115" t="s">
        <v>919</v>
      </c>
      <c r="B211" s="116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</row>
    <row r="212" spans="1:16" ht="17.25" thickTop="1">
      <c r="A212" s="27" t="s">
        <v>926</v>
      </c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30"/>
      <c r="N212" s="30"/>
      <c r="O212" s="30"/>
      <c r="P212" s="30"/>
    </row>
    <row r="213" spans="1:16" ht="16.5">
      <c r="A213" s="27" t="s">
        <v>377</v>
      </c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30"/>
      <c r="N213" s="30"/>
      <c r="O213" s="30"/>
      <c r="P213" s="30"/>
    </row>
    <row r="214" spans="1:16" ht="18">
      <c r="A214" s="28"/>
      <c r="B214" s="28" t="s">
        <v>418</v>
      </c>
      <c r="C214" s="28"/>
      <c r="D214" s="28"/>
      <c r="E214" s="96" t="s">
        <v>924</v>
      </c>
      <c r="F214" s="73" t="s">
        <v>67</v>
      </c>
      <c r="G214" s="90">
        <f>G178</f>
        <v>1142.5424995030219</v>
      </c>
      <c r="H214" s="71" t="s">
        <v>69</v>
      </c>
      <c r="I214" s="28"/>
      <c r="J214" s="28"/>
      <c r="K214" s="28"/>
      <c r="L214" s="28"/>
      <c r="M214" s="30"/>
      <c r="N214" s="30"/>
      <c r="O214" s="30"/>
      <c r="P214" s="30"/>
    </row>
    <row r="215" spans="1:16" ht="18">
      <c r="A215" s="28"/>
      <c r="B215" s="28" t="s">
        <v>923</v>
      </c>
      <c r="C215" s="28"/>
      <c r="D215" s="28"/>
      <c r="E215" s="96" t="s">
        <v>925</v>
      </c>
      <c r="F215" s="73" t="s">
        <v>67</v>
      </c>
      <c r="G215" s="90">
        <f>G190</f>
        <v>1142.5424995030219</v>
      </c>
      <c r="H215" s="71" t="s">
        <v>69</v>
      </c>
      <c r="I215" s="28"/>
      <c r="J215" s="28"/>
      <c r="K215" s="28"/>
      <c r="L215" s="28"/>
      <c r="M215" s="30"/>
      <c r="N215" s="30"/>
      <c r="O215" s="30"/>
      <c r="P215" s="30"/>
    </row>
    <row r="216" spans="1:16" ht="18">
      <c r="A216" s="28"/>
      <c r="B216" s="28"/>
      <c r="C216" s="28"/>
      <c r="D216" s="28"/>
      <c r="E216" s="33" t="s">
        <v>392</v>
      </c>
      <c r="F216" s="34" t="s">
        <v>67</v>
      </c>
      <c r="G216" s="74">
        <v>1.05</v>
      </c>
      <c r="H216" s="28" t="s">
        <v>199</v>
      </c>
      <c r="I216" s="28"/>
      <c r="J216" s="28"/>
      <c r="K216" s="28"/>
      <c r="L216" s="46" t="s">
        <v>393</v>
      </c>
      <c r="M216" s="30"/>
      <c r="N216" s="30"/>
      <c r="O216" s="30"/>
      <c r="P216" s="30"/>
    </row>
    <row r="217" spans="1:16" ht="18">
      <c r="A217" s="28"/>
      <c r="B217" s="28"/>
      <c r="C217" s="28"/>
      <c r="D217" s="28"/>
      <c r="E217" s="33" t="s">
        <v>394</v>
      </c>
      <c r="F217" s="34" t="s">
        <v>67</v>
      </c>
      <c r="G217" s="74">
        <v>0.95</v>
      </c>
      <c r="H217" s="28" t="s">
        <v>199</v>
      </c>
      <c r="I217" s="28"/>
      <c r="J217" s="28"/>
      <c r="K217" s="28"/>
      <c r="L217" s="46" t="s">
        <v>393</v>
      </c>
      <c r="M217" s="30"/>
      <c r="N217" s="30"/>
      <c r="O217" s="30"/>
      <c r="P217" s="30"/>
    </row>
    <row r="218" spans="1:16" ht="18">
      <c r="A218" s="28"/>
      <c r="B218" s="28" t="s">
        <v>380</v>
      </c>
      <c r="C218" s="28"/>
      <c r="D218" s="28"/>
      <c r="E218" s="33" t="s">
        <v>382</v>
      </c>
      <c r="F218" s="34" t="s">
        <v>67</v>
      </c>
      <c r="G218" s="34">
        <f>G216*$G$214*$G$74*0.001</f>
        <v>1637.5490374127064</v>
      </c>
      <c r="H218" s="28" t="s">
        <v>119</v>
      </c>
      <c r="I218" s="49" t="s">
        <v>384</v>
      </c>
      <c r="J218" s="28"/>
      <c r="K218" s="28"/>
      <c r="L218" s="46" t="s">
        <v>378</v>
      </c>
      <c r="M218" s="30"/>
      <c r="N218" s="30"/>
      <c r="O218" s="30"/>
      <c r="P218" s="30"/>
    </row>
    <row r="219" spans="1:16" ht="18">
      <c r="A219" s="28"/>
      <c r="B219" s="28" t="s">
        <v>381</v>
      </c>
      <c r="C219" s="28"/>
      <c r="D219" s="28"/>
      <c r="E219" s="33" t="s">
        <v>383</v>
      </c>
      <c r="F219" s="34" t="s">
        <v>67</v>
      </c>
      <c r="G219" s="34">
        <f>G217*$G$214*$G$74*0.001</f>
        <v>1481.5919862305434</v>
      </c>
      <c r="H219" s="28" t="s">
        <v>119</v>
      </c>
      <c r="I219" s="49" t="s">
        <v>385</v>
      </c>
      <c r="J219" s="28"/>
      <c r="K219" s="28"/>
      <c r="L219" s="46" t="s">
        <v>379</v>
      </c>
      <c r="M219" s="30"/>
      <c r="N219" s="30"/>
      <c r="O219" s="30"/>
      <c r="P219" s="30"/>
    </row>
    <row r="220" spans="1:16" ht="18">
      <c r="A220" s="28"/>
      <c r="B220" s="28" t="s">
        <v>386</v>
      </c>
      <c r="C220" s="28"/>
      <c r="D220" s="28"/>
      <c r="E220" s="33" t="s">
        <v>388</v>
      </c>
      <c r="F220" s="34" t="s">
        <v>67</v>
      </c>
      <c r="G220" s="34">
        <f>G216*$G$214*$G$74*0.001</f>
        <v>1637.5490374127064</v>
      </c>
      <c r="H220" s="28" t="s">
        <v>119</v>
      </c>
      <c r="I220" s="49" t="s">
        <v>390</v>
      </c>
      <c r="J220" s="28"/>
      <c r="K220" s="28"/>
      <c r="L220" s="46" t="s">
        <v>378</v>
      </c>
      <c r="M220" s="30"/>
      <c r="N220" s="30"/>
      <c r="O220" s="30"/>
      <c r="P220" s="30"/>
    </row>
    <row r="221" spans="1:16" ht="18">
      <c r="A221" s="28"/>
      <c r="B221" s="28" t="s">
        <v>387</v>
      </c>
      <c r="C221" s="28"/>
      <c r="D221" s="28"/>
      <c r="E221" s="33" t="s">
        <v>389</v>
      </c>
      <c r="F221" s="34" t="s">
        <v>67</v>
      </c>
      <c r="G221" s="34">
        <f>G217*$G$214*$G$74*0.001</f>
        <v>1481.5919862305434</v>
      </c>
      <c r="H221" s="28" t="s">
        <v>119</v>
      </c>
      <c r="I221" s="49" t="s">
        <v>391</v>
      </c>
      <c r="J221" s="28"/>
      <c r="K221" s="28"/>
      <c r="L221" s="46" t="s">
        <v>379</v>
      </c>
      <c r="M221" s="30"/>
      <c r="N221" s="30"/>
      <c r="O221" s="30"/>
      <c r="P221" s="30"/>
    </row>
    <row r="222" spans="1:16" ht="7.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30"/>
      <c r="N222" s="30"/>
      <c r="O222" s="30"/>
      <c r="P222" s="30"/>
    </row>
    <row r="223" spans="1:16" ht="18">
      <c r="A223" s="28"/>
      <c r="B223" s="28" t="s">
        <v>397</v>
      </c>
      <c r="C223" s="28"/>
      <c r="D223" s="28"/>
      <c r="E223" s="48" t="s">
        <v>307</v>
      </c>
      <c r="F223" s="34" t="s">
        <v>67</v>
      </c>
      <c r="G223" s="47">
        <f>G98</f>
        <v>2.8632437921858247</v>
      </c>
      <c r="H223" s="28" t="s">
        <v>69</v>
      </c>
      <c r="I223" s="28"/>
      <c r="J223" s="28"/>
      <c r="K223" s="28"/>
      <c r="L223" s="28"/>
      <c r="M223" s="30"/>
      <c r="N223" s="30"/>
      <c r="O223" s="30"/>
      <c r="P223" s="30"/>
    </row>
    <row r="224" spans="1:16" ht="18">
      <c r="A224" s="28"/>
      <c r="B224" s="28" t="s">
        <v>398</v>
      </c>
      <c r="C224" s="28"/>
      <c r="D224" s="28"/>
      <c r="E224" s="48" t="s">
        <v>400</v>
      </c>
      <c r="F224" s="34" t="s">
        <v>67</v>
      </c>
      <c r="G224" s="47">
        <f>G99</f>
        <v>31.934716048907561</v>
      </c>
      <c r="H224" s="28" t="s">
        <v>69</v>
      </c>
      <c r="I224" s="28"/>
      <c r="J224" s="28"/>
      <c r="K224" s="28"/>
      <c r="L224" s="28"/>
      <c r="M224" s="30"/>
      <c r="N224" s="30"/>
      <c r="O224" s="30"/>
      <c r="P224" s="30"/>
    </row>
    <row r="225" spans="1:16" ht="7.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30"/>
      <c r="N225" s="30"/>
      <c r="O225" s="30"/>
      <c r="P225" s="30"/>
    </row>
    <row r="226" spans="1:16" ht="18">
      <c r="A226" s="31" t="s">
        <v>410</v>
      </c>
      <c r="B226" s="32"/>
      <c r="C226" s="32"/>
      <c r="D226" s="32"/>
      <c r="E226" s="32"/>
      <c r="F226" s="32"/>
      <c r="G226" s="32"/>
      <c r="H226" s="32"/>
      <c r="I226" s="28"/>
      <c r="J226" s="28"/>
      <c r="K226" s="28"/>
      <c r="L226" s="28"/>
      <c r="M226" s="30"/>
      <c r="N226" s="30"/>
      <c r="O226" s="30"/>
      <c r="P226" s="30"/>
    </row>
    <row r="227" spans="1:16" ht="16.5">
      <c r="A227" s="28"/>
      <c r="B227" s="28" t="s">
        <v>366</v>
      </c>
      <c r="C227" s="28"/>
      <c r="D227" s="28"/>
      <c r="E227" s="33" t="s">
        <v>411</v>
      </c>
      <c r="F227" s="34" t="s">
        <v>67</v>
      </c>
      <c r="G227" s="47">
        <f>$G$15/2</f>
        <v>8.9</v>
      </c>
      <c r="H227" s="28" t="s">
        <v>98</v>
      </c>
      <c r="I227" s="28"/>
      <c r="J227" s="28"/>
      <c r="K227" s="28"/>
      <c r="L227" s="28"/>
      <c r="M227" s="30"/>
      <c r="N227" s="30"/>
      <c r="O227" s="30"/>
      <c r="P227" s="30"/>
    </row>
    <row r="228" spans="1:16" ht="18">
      <c r="A228" s="28"/>
      <c r="B228" s="28" t="s">
        <v>368</v>
      </c>
      <c r="C228" s="28"/>
      <c r="D228" s="28"/>
      <c r="E228" s="33" t="s">
        <v>412</v>
      </c>
      <c r="F228" s="34" t="s">
        <v>67</v>
      </c>
      <c r="G228" s="47">
        <f>1/8*G70*25*G15*G15</f>
        <v>201.72806750000001</v>
      </c>
      <c r="H228" s="28" t="s">
        <v>279</v>
      </c>
      <c r="I228" s="28"/>
      <c r="J228" s="28"/>
      <c r="K228" s="28"/>
      <c r="L228" s="28"/>
      <c r="M228" s="30"/>
      <c r="N228" s="30"/>
      <c r="O228" s="30"/>
      <c r="P228" s="30"/>
    </row>
    <row r="229" spans="1:16" ht="18">
      <c r="A229" s="28"/>
      <c r="B229" s="28" t="s">
        <v>371</v>
      </c>
      <c r="C229" s="28"/>
      <c r="D229" s="28"/>
      <c r="E229" s="33" t="s">
        <v>209</v>
      </c>
      <c r="F229" s="34" t="s">
        <v>67</v>
      </c>
      <c r="G229" s="85">
        <f>$G$81</f>
        <v>0.12194985864242761</v>
      </c>
      <c r="H229" s="28" t="s">
        <v>98</v>
      </c>
      <c r="I229" s="28"/>
      <c r="J229" s="28"/>
      <c r="K229" s="28"/>
      <c r="L229" s="28"/>
      <c r="M229" s="30"/>
      <c r="N229" s="30"/>
      <c r="O229" s="30"/>
      <c r="P229" s="30"/>
    </row>
    <row r="230" spans="1:16" ht="18.75">
      <c r="A230" s="28"/>
      <c r="B230" s="28" t="s">
        <v>126</v>
      </c>
      <c r="C230" s="45"/>
      <c r="D230" s="45"/>
      <c r="E230" s="33" t="s">
        <v>128</v>
      </c>
      <c r="F230" s="34" t="s">
        <v>67</v>
      </c>
      <c r="G230" s="34">
        <f>$G$79</f>
        <v>0.21195527777777778</v>
      </c>
      <c r="H230" s="28" t="s">
        <v>127</v>
      </c>
      <c r="I230" s="28"/>
      <c r="J230" s="28"/>
      <c r="K230" s="28"/>
      <c r="L230" s="28"/>
      <c r="M230" s="30"/>
      <c r="N230" s="30"/>
      <c r="O230" s="30"/>
      <c r="P230" s="30"/>
    </row>
    <row r="231" spans="1:16" ht="18.75">
      <c r="A231" s="28"/>
      <c r="B231" s="28" t="s">
        <v>369</v>
      </c>
      <c r="C231" s="28"/>
      <c r="D231" s="28"/>
      <c r="E231" s="33" t="s">
        <v>134</v>
      </c>
      <c r="F231" s="34" t="s">
        <v>67</v>
      </c>
      <c r="G231" s="77">
        <f>$G$85</f>
        <v>2.2055158541615667E-2</v>
      </c>
      <c r="H231" s="28" t="s">
        <v>131</v>
      </c>
      <c r="I231" s="28"/>
      <c r="J231" s="28"/>
      <c r="K231" s="28"/>
      <c r="L231" s="28"/>
      <c r="M231" s="30"/>
      <c r="N231" s="30"/>
      <c r="O231" s="30"/>
      <c r="P231" s="30"/>
    </row>
    <row r="232" spans="1:16" ht="18.75">
      <c r="A232" s="28"/>
      <c r="B232" s="28" t="s">
        <v>370</v>
      </c>
      <c r="C232" s="28"/>
      <c r="D232" s="28"/>
      <c r="E232" s="33" t="s">
        <v>135</v>
      </c>
      <c r="F232" s="34" t="s">
        <v>67</v>
      </c>
      <c r="G232" s="77">
        <f>$G$86</f>
        <v>2.2029877138688217E-2</v>
      </c>
      <c r="H232" s="28" t="s">
        <v>131</v>
      </c>
      <c r="I232" s="28"/>
      <c r="J232" s="28"/>
      <c r="K232" s="28"/>
      <c r="L232" s="28"/>
      <c r="M232" s="30"/>
      <c r="N232" s="30"/>
      <c r="O232" s="30"/>
      <c r="P232" s="30"/>
    </row>
    <row r="233" spans="1:16" ht="18">
      <c r="A233" s="28"/>
      <c r="B233" s="28" t="s">
        <v>372</v>
      </c>
      <c r="C233" s="28"/>
      <c r="D233" s="28"/>
      <c r="E233" s="33" t="s">
        <v>382</v>
      </c>
      <c r="F233" s="34" t="s">
        <v>67</v>
      </c>
      <c r="G233" s="34">
        <f>G218</f>
        <v>1637.5490374127064</v>
      </c>
      <c r="H233" s="28" t="s">
        <v>119</v>
      </c>
      <c r="I233" s="28"/>
      <c r="J233" s="28"/>
      <c r="K233" s="28"/>
      <c r="L233" s="28"/>
      <c r="M233" s="30"/>
      <c r="N233" s="30"/>
      <c r="O233" s="30"/>
      <c r="P233" s="30"/>
    </row>
    <row r="234" spans="1:16" ht="18.75" thickBot="1">
      <c r="A234" s="28"/>
      <c r="B234" s="28" t="s">
        <v>373</v>
      </c>
      <c r="C234" s="28"/>
      <c r="D234" s="28"/>
      <c r="E234" s="33" t="s">
        <v>413</v>
      </c>
      <c r="F234" s="34" t="s">
        <v>67</v>
      </c>
      <c r="G234" s="47">
        <f>G233*G229</f>
        <v>199.69887363252295</v>
      </c>
      <c r="H234" s="28" t="s">
        <v>279</v>
      </c>
      <c r="I234" s="28"/>
      <c r="J234" s="28"/>
      <c r="K234" s="28"/>
      <c r="L234" s="28"/>
      <c r="M234" s="30"/>
      <c r="N234" s="30"/>
      <c r="O234" s="30"/>
      <c r="P234" s="30"/>
    </row>
    <row r="235" spans="1:16" ht="18">
      <c r="A235" s="28"/>
      <c r="B235" s="54" t="s">
        <v>375</v>
      </c>
      <c r="C235" s="59"/>
      <c r="D235" s="59"/>
      <c r="E235" s="117" t="s">
        <v>395</v>
      </c>
      <c r="F235" s="118" t="s">
        <v>67</v>
      </c>
      <c r="G235" s="119">
        <f>-G233*0.001/G230+G234*0.001/G231-G228*0.001/G231</f>
        <v>-7.8179231329656504</v>
      </c>
      <c r="H235" s="120" t="s">
        <v>69</v>
      </c>
      <c r="I235" s="59"/>
      <c r="J235" s="59"/>
      <c r="K235" s="59"/>
      <c r="L235" s="121"/>
      <c r="M235" s="30"/>
      <c r="N235" s="30"/>
      <c r="O235" s="30"/>
      <c r="P235" s="30"/>
    </row>
    <row r="236" spans="1:16" ht="18">
      <c r="A236" s="28"/>
      <c r="B236" s="122" t="s">
        <v>376</v>
      </c>
      <c r="C236" s="62"/>
      <c r="D236" s="62"/>
      <c r="E236" s="123" t="s">
        <v>396</v>
      </c>
      <c r="F236" s="124" t="s">
        <v>67</v>
      </c>
      <c r="G236" s="125">
        <f>-G233*0.001/G230-G234*0.001/G232+G228*0.001/G232</f>
        <v>-7.6338067312435829</v>
      </c>
      <c r="H236" s="126" t="s">
        <v>69</v>
      </c>
      <c r="I236" s="62"/>
      <c r="J236" s="62"/>
      <c r="K236" s="62"/>
      <c r="L236" s="127"/>
      <c r="M236" s="30"/>
      <c r="N236" s="30"/>
      <c r="O236" s="30"/>
      <c r="P236" s="30"/>
    </row>
    <row r="237" spans="1:16" ht="7.5" customHeight="1">
      <c r="A237" s="28"/>
      <c r="B237" s="61"/>
      <c r="C237" s="62"/>
      <c r="D237" s="62"/>
      <c r="E237" s="62"/>
      <c r="F237" s="62"/>
      <c r="G237" s="62"/>
      <c r="H237" s="62"/>
      <c r="I237" s="62"/>
      <c r="J237" s="62"/>
      <c r="K237" s="62"/>
      <c r="L237" s="127"/>
      <c r="M237" s="30"/>
      <c r="N237" s="30"/>
      <c r="O237" s="30"/>
      <c r="P237" s="30"/>
    </row>
    <row r="238" spans="1:16" ht="18">
      <c r="A238" s="28"/>
      <c r="B238" s="128" t="s">
        <v>713</v>
      </c>
      <c r="C238" s="126"/>
      <c r="D238" s="126"/>
      <c r="E238" s="62"/>
      <c r="F238" s="62"/>
      <c r="G238" s="129" t="str">
        <f>IF(ABS(G235)&lt;0.6*G224,"nevzniknou trhliny","vzniknou trhliny!!!")</f>
        <v>nevzniknou trhliny</v>
      </c>
      <c r="H238" s="62"/>
      <c r="I238" s="62" t="s">
        <v>404</v>
      </c>
      <c r="J238" s="130" t="s">
        <v>415</v>
      </c>
      <c r="K238" s="62"/>
      <c r="L238" s="246" t="s">
        <v>406</v>
      </c>
      <c r="M238" s="30"/>
      <c r="N238" s="30"/>
      <c r="O238" s="30"/>
      <c r="P238" s="30"/>
    </row>
    <row r="239" spans="1:16" ht="18.75" thickBot="1">
      <c r="A239" s="28"/>
      <c r="B239" s="131" t="s">
        <v>714</v>
      </c>
      <c r="C239" s="132"/>
      <c r="D239" s="132"/>
      <c r="E239" s="68"/>
      <c r="F239" s="68"/>
      <c r="G239" s="133" t="str">
        <f>IF(G236&lt;G223,"nevzniknou trhliny","vzniknou trhliny!!!")</f>
        <v>nevzniknou trhliny</v>
      </c>
      <c r="H239" s="68"/>
      <c r="I239" s="68" t="s">
        <v>404</v>
      </c>
      <c r="J239" s="134" t="s">
        <v>414</v>
      </c>
      <c r="K239" s="68"/>
      <c r="L239" s="247" t="s">
        <v>405</v>
      </c>
      <c r="M239" s="30"/>
      <c r="N239" s="30"/>
      <c r="O239" s="30"/>
      <c r="P239" s="30"/>
    </row>
    <row r="240" spans="1:16" ht="7.5" customHeight="1">
      <c r="A240" s="28"/>
      <c r="B240" s="28"/>
      <c r="C240" s="28"/>
      <c r="D240" s="28"/>
      <c r="E240" s="28"/>
      <c r="F240" s="28"/>
      <c r="G240" s="135"/>
      <c r="H240" s="28"/>
      <c r="I240" s="28"/>
      <c r="J240" s="49"/>
      <c r="K240" s="28"/>
      <c r="L240" s="33"/>
      <c r="M240" s="30"/>
      <c r="N240" s="30"/>
      <c r="O240" s="30"/>
      <c r="P240" s="30"/>
    </row>
    <row r="241" spans="1:16" ht="18">
      <c r="A241" s="31" t="s">
        <v>927</v>
      </c>
      <c r="B241" s="32"/>
      <c r="C241" s="32"/>
      <c r="D241" s="32"/>
      <c r="E241" s="136"/>
      <c r="F241" s="137"/>
      <c r="G241" s="138"/>
      <c r="H241" s="32"/>
      <c r="I241" s="28"/>
      <c r="J241" s="28"/>
      <c r="K241" s="28"/>
      <c r="L241" s="28"/>
      <c r="M241" s="30"/>
      <c r="N241" s="30"/>
      <c r="O241" s="30"/>
      <c r="P241" s="30"/>
    </row>
    <row r="242" spans="1:16" ht="18">
      <c r="A242" s="28"/>
      <c r="B242" s="28" t="s">
        <v>366</v>
      </c>
      <c r="C242" s="28"/>
      <c r="D242" s="28"/>
      <c r="E242" s="33" t="s">
        <v>365</v>
      </c>
      <c r="F242" s="34" t="s">
        <v>67</v>
      </c>
      <c r="G242" s="47">
        <f>$G$125/1000</f>
        <v>0.75069682129720616</v>
      </c>
      <c r="H242" s="28" t="s">
        <v>98</v>
      </c>
      <c r="I242" s="28"/>
      <c r="J242" s="28"/>
      <c r="K242" s="28"/>
      <c r="L242" s="28"/>
      <c r="M242" s="30"/>
      <c r="N242" s="30"/>
      <c r="O242" s="30"/>
      <c r="P242" s="30"/>
    </row>
    <row r="243" spans="1:16" ht="18">
      <c r="A243" s="28"/>
      <c r="B243" s="28" t="s">
        <v>368</v>
      </c>
      <c r="C243" s="28"/>
      <c r="D243" s="28"/>
      <c r="E243" s="33" t="s">
        <v>367</v>
      </c>
      <c r="F243" s="34" t="s">
        <v>67</v>
      </c>
      <c r="G243" s="47">
        <f>1/2*G70*25*G15*G242-1/2*G242*G242*G70*25</f>
        <v>32.595490851510426</v>
      </c>
      <c r="H243" s="28" t="s">
        <v>279</v>
      </c>
      <c r="I243" s="28"/>
      <c r="J243" s="28"/>
      <c r="K243" s="28"/>
      <c r="L243" s="28"/>
      <c r="M243" s="30"/>
      <c r="N243" s="30"/>
      <c r="O243" s="30"/>
      <c r="P243" s="30"/>
    </row>
    <row r="244" spans="1:16" ht="18">
      <c r="A244" s="28"/>
      <c r="B244" s="28" t="s">
        <v>371</v>
      </c>
      <c r="C244" s="28"/>
      <c r="D244" s="28"/>
      <c r="E244" s="33" t="s">
        <v>209</v>
      </c>
      <c r="F244" s="34" t="s">
        <v>67</v>
      </c>
      <c r="G244" s="85">
        <f>$G$81</f>
        <v>0.12194985864242761</v>
      </c>
      <c r="H244" s="28" t="s">
        <v>98</v>
      </c>
      <c r="I244" s="28"/>
      <c r="J244" s="28"/>
      <c r="K244" s="28"/>
      <c r="L244" s="28"/>
      <c r="M244" s="30"/>
      <c r="N244" s="30"/>
      <c r="O244" s="30"/>
      <c r="P244" s="30"/>
    </row>
    <row r="245" spans="1:16" ht="18.75">
      <c r="A245" s="28"/>
      <c r="B245" s="28" t="s">
        <v>126</v>
      </c>
      <c r="C245" s="45"/>
      <c r="D245" s="45"/>
      <c r="E245" s="33" t="s">
        <v>128</v>
      </c>
      <c r="F245" s="34" t="s">
        <v>67</v>
      </c>
      <c r="G245" s="34">
        <f>$G$79</f>
        <v>0.21195527777777778</v>
      </c>
      <c r="H245" s="28" t="s">
        <v>127</v>
      </c>
      <c r="I245" s="34"/>
      <c r="J245" s="34"/>
      <c r="K245" s="28"/>
      <c r="L245" s="28"/>
      <c r="M245" s="30"/>
      <c r="N245" s="30"/>
      <c r="O245" s="30"/>
      <c r="P245" s="30"/>
    </row>
    <row r="246" spans="1:16" ht="18.75">
      <c r="A246" s="28"/>
      <c r="B246" s="28" t="s">
        <v>369</v>
      </c>
      <c r="C246" s="28"/>
      <c r="D246" s="28"/>
      <c r="E246" s="33" t="s">
        <v>134</v>
      </c>
      <c r="F246" s="34" t="s">
        <v>67</v>
      </c>
      <c r="G246" s="77">
        <f>$G$85</f>
        <v>2.2055158541615667E-2</v>
      </c>
      <c r="H246" s="28" t="s">
        <v>131</v>
      </c>
      <c r="I246" s="28"/>
      <c r="J246" s="28"/>
      <c r="K246" s="28"/>
      <c r="L246" s="28"/>
      <c r="M246" s="30"/>
      <c r="N246" s="30"/>
      <c r="O246" s="30"/>
      <c r="P246" s="30"/>
    </row>
    <row r="247" spans="1:16" ht="18.75">
      <c r="A247" s="28"/>
      <c r="B247" s="28" t="s">
        <v>370</v>
      </c>
      <c r="C247" s="28"/>
      <c r="D247" s="28"/>
      <c r="E247" s="33" t="s">
        <v>135</v>
      </c>
      <c r="F247" s="34" t="s">
        <v>67</v>
      </c>
      <c r="G247" s="77">
        <f>$G$86</f>
        <v>2.2029877138688217E-2</v>
      </c>
      <c r="H247" s="28" t="s">
        <v>131</v>
      </c>
      <c r="I247" s="28"/>
      <c r="J247" s="28"/>
      <c r="K247" s="28"/>
      <c r="L247" s="28"/>
      <c r="M247" s="30"/>
      <c r="N247" s="30"/>
      <c r="O247" s="30"/>
      <c r="P247" s="30"/>
    </row>
    <row r="248" spans="1:16" ht="18">
      <c r="A248" s="28"/>
      <c r="B248" s="28" t="s">
        <v>372</v>
      </c>
      <c r="C248" s="28"/>
      <c r="D248" s="28"/>
      <c r="E248" s="33" t="s">
        <v>388</v>
      </c>
      <c r="F248" s="34" t="s">
        <v>67</v>
      </c>
      <c r="G248" s="34">
        <f>G220</f>
        <v>1637.5490374127064</v>
      </c>
      <c r="H248" s="28" t="s">
        <v>119</v>
      </c>
      <c r="I248" s="28"/>
      <c r="J248" s="28"/>
      <c r="K248" s="28"/>
      <c r="L248" s="28"/>
      <c r="M248" s="30"/>
      <c r="N248" s="30"/>
      <c r="O248" s="30"/>
      <c r="P248" s="30"/>
    </row>
    <row r="249" spans="1:16" ht="18.75" thickBot="1">
      <c r="A249" s="28"/>
      <c r="B249" s="28" t="s">
        <v>373</v>
      </c>
      <c r="C249" s="28"/>
      <c r="D249" s="28"/>
      <c r="E249" s="33" t="s">
        <v>374</v>
      </c>
      <c r="F249" s="34" t="s">
        <v>67</v>
      </c>
      <c r="G249" s="47">
        <f>G248*G244</f>
        <v>199.69887363252295</v>
      </c>
      <c r="H249" s="28" t="s">
        <v>279</v>
      </c>
      <c r="I249" s="28"/>
      <c r="J249" s="28"/>
      <c r="K249" s="28"/>
      <c r="L249" s="28"/>
      <c r="M249" s="30"/>
      <c r="N249" s="30"/>
      <c r="O249" s="30"/>
    </row>
    <row r="250" spans="1:16" ht="18">
      <c r="A250" s="28"/>
      <c r="B250" s="54" t="s">
        <v>375</v>
      </c>
      <c r="C250" s="59"/>
      <c r="D250" s="59"/>
      <c r="E250" s="117" t="s">
        <v>395</v>
      </c>
      <c r="F250" s="118" t="s">
        <v>67</v>
      </c>
      <c r="G250" s="119">
        <f>-G248*0.001/G245+G249*0.001/G246-G243*0.001/G246</f>
        <v>-0.14930554722692402</v>
      </c>
      <c r="H250" s="120" t="s">
        <v>69</v>
      </c>
      <c r="I250" s="59"/>
      <c r="J250" s="59"/>
      <c r="K250" s="59"/>
      <c r="L250" s="121"/>
      <c r="M250" s="30"/>
    </row>
    <row r="251" spans="1:16" ht="18">
      <c r="A251" s="28"/>
      <c r="B251" s="122" t="s">
        <v>376</v>
      </c>
      <c r="C251" s="62"/>
      <c r="D251" s="62"/>
      <c r="E251" s="123" t="s">
        <v>396</v>
      </c>
      <c r="F251" s="124" t="s">
        <v>67</v>
      </c>
      <c r="G251" s="125">
        <f>-G248*0.001/G245-G249*0.001/G247+G243*0.001/G247</f>
        <v>-15.311224793256464</v>
      </c>
      <c r="H251" s="126" t="s">
        <v>69</v>
      </c>
      <c r="I251" s="62"/>
      <c r="J251" s="62"/>
      <c r="K251" s="62"/>
      <c r="L251" s="127"/>
      <c r="M251" s="30"/>
    </row>
    <row r="252" spans="1:16" ht="7.5" customHeight="1">
      <c r="A252" s="28"/>
      <c r="B252" s="61"/>
      <c r="C252" s="62"/>
      <c r="D252" s="62"/>
      <c r="E252" s="62"/>
      <c r="F252" s="62"/>
      <c r="G252" s="62"/>
      <c r="H252" s="62"/>
      <c r="I252" s="62"/>
      <c r="J252" s="62"/>
      <c r="K252" s="62"/>
      <c r="L252" s="127"/>
      <c r="M252" s="30"/>
    </row>
    <row r="253" spans="1:16" ht="18">
      <c r="A253" s="28"/>
      <c r="B253" s="128" t="s">
        <v>403</v>
      </c>
      <c r="C253" s="62"/>
      <c r="D253" s="62"/>
      <c r="E253" s="62"/>
      <c r="F253" s="62"/>
      <c r="G253" s="129" t="str">
        <f>IF(G250&lt;G223,"nevzniknou trhliny","vzniknou trhliny!!!")</f>
        <v>nevzniknou trhliny</v>
      </c>
      <c r="H253" s="62"/>
      <c r="I253" s="62" t="s">
        <v>404</v>
      </c>
      <c r="J253" s="130" t="s">
        <v>407</v>
      </c>
      <c r="K253" s="62"/>
      <c r="L253" s="246" t="s">
        <v>405</v>
      </c>
      <c r="M253" s="30"/>
    </row>
    <row r="254" spans="1:16" ht="18.75" thickBot="1">
      <c r="A254" s="28"/>
      <c r="B254" s="131" t="s">
        <v>409</v>
      </c>
      <c r="C254" s="68"/>
      <c r="D254" s="68"/>
      <c r="E254" s="68"/>
      <c r="F254" s="68"/>
      <c r="G254" s="133" t="str">
        <f>IF(ABS(G251)&lt;0.6*G224,"nevzniknou trhliny","vzniknou trhliny!!!")</f>
        <v>nevzniknou trhliny</v>
      </c>
      <c r="H254" s="68"/>
      <c r="I254" s="68" t="s">
        <v>404</v>
      </c>
      <c r="J254" s="134" t="s">
        <v>408</v>
      </c>
      <c r="K254" s="68"/>
      <c r="L254" s="247" t="s">
        <v>406</v>
      </c>
      <c r="M254" s="30"/>
    </row>
    <row r="255" spans="1:16" ht="7.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30"/>
    </row>
    <row r="256" spans="1:16" ht="19.5" customHeight="1" thickBot="1">
      <c r="A256" s="115" t="s">
        <v>933</v>
      </c>
      <c r="B256" s="139"/>
      <c r="C256" s="139"/>
      <c r="D256" s="139"/>
      <c r="E256" s="139"/>
      <c r="F256" s="139"/>
      <c r="G256" s="139"/>
      <c r="H256" s="139"/>
      <c r="I256" s="139"/>
      <c r="J256" s="139"/>
      <c r="K256" s="139"/>
      <c r="L256" s="139"/>
      <c r="M256" s="30"/>
    </row>
    <row r="257" spans="1:13" ht="7.5" customHeight="1" thickTop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30"/>
    </row>
    <row r="258" spans="1:13" ht="18">
      <c r="A258" s="28"/>
      <c r="B258" s="71" t="s">
        <v>137</v>
      </c>
      <c r="C258" s="71"/>
      <c r="D258" s="71"/>
      <c r="E258" s="72" t="s">
        <v>929</v>
      </c>
      <c r="F258" s="73" t="s">
        <v>67</v>
      </c>
      <c r="G258" s="90">
        <f>G89</f>
        <v>4.8</v>
      </c>
      <c r="H258" s="71" t="s">
        <v>931</v>
      </c>
      <c r="I258" s="34">
        <f>G258*24*60</f>
        <v>6911.9999999999991</v>
      </c>
      <c r="J258" s="28" t="s">
        <v>140</v>
      </c>
      <c r="K258" s="28"/>
      <c r="L258" s="28"/>
      <c r="M258" s="30"/>
    </row>
    <row r="259" spans="1:13" ht="18">
      <c r="A259" s="28"/>
      <c r="B259" s="71" t="s">
        <v>141</v>
      </c>
      <c r="C259" s="71"/>
      <c r="D259" s="71"/>
      <c r="E259" s="72" t="s">
        <v>930</v>
      </c>
      <c r="F259" s="73" t="s">
        <v>67</v>
      </c>
      <c r="G259" s="90">
        <f>G90</f>
        <v>21</v>
      </c>
      <c r="H259" s="71" t="s">
        <v>932</v>
      </c>
      <c r="I259" s="34">
        <f>G259*24*60</f>
        <v>30240</v>
      </c>
      <c r="J259" s="28" t="s">
        <v>140</v>
      </c>
      <c r="K259" s="28"/>
      <c r="L259" s="72" t="s">
        <v>416</v>
      </c>
      <c r="M259" s="30"/>
    </row>
    <row r="260" spans="1:13" ht="7.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30"/>
    </row>
    <row r="261" spans="1:13" ht="16.5">
      <c r="A261" s="31" t="s">
        <v>434</v>
      </c>
      <c r="B261" s="32"/>
      <c r="C261" s="32"/>
      <c r="D261" s="32"/>
      <c r="E261" s="32"/>
      <c r="F261" s="32"/>
      <c r="G261" s="32"/>
      <c r="H261" s="32"/>
      <c r="I261" s="28"/>
      <c r="J261" s="28"/>
      <c r="K261" s="28"/>
      <c r="L261" s="28"/>
      <c r="M261" s="30"/>
    </row>
    <row r="262" spans="1:13" ht="7.5" customHeight="1">
      <c r="A262" s="140"/>
      <c r="B262" s="88"/>
      <c r="C262" s="88"/>
      <c r="D262" s="88"/>
      <c r="E262" s="88"/>
      <c r="F262" s="88"/>
      <c r="G262" s="88"/>
      <c r="H262" s="88"/>
      <c r="I262" s="28"/>
      <c r="J262" s="28"/>
      <c r="K262" s="28"/>
      <c r="L262" s="28"/>
      <c r="M262" s="30"/>
    </row>
    <row r="263" spans="1:13" ht="18">
      <c r="A263" s="71" t="s">
        <v>432</v>
      </c>
      <c r="B263" s="28"/>
      <c r="C263" s="28"/>
      <c r="D263" s="28"/>
      <c r="E263" s="96"/>
      <c r="F263" s="73"/>
      <c r="G263" s="90"/>
      <c r="H263" s="71"/>
      <c r="I263" s="28"/>
      <c r="J263" s="28"/>
      <c r="K263" s="28"/>
      <c r="L263" s="28"/>
      <c r="M263" s="30"/>
    </row>
    <row r="264" spans="1:13" ht="18">
      <c r="A264" s="28"/>
      <c r="B264" s="28" t="s">
        <v>229</v>
      </c>
      <c r="C264" s="28"/>
      <c r="D264" s="28"/>
      <c r="E264" s="48" t="s">
        <v>433</v>
      </c>
      <c r="F264" s="34" t="s">
        <v>67</v>
      </c>
      <c r="G264" s="37">
        <f>G201</f>
        <v>1096.9090167322406</v>
      </c>
      <c r="H264" s="28" t="s">
        <v>69</v>
      </c>
      <c r="I264" s="84"/>
      <c r="J264" s="28"/>
      <c r="K264" s="28"/>
      <c r="L264" s="28"/>
      <c r="M264" s="30"/>
    </row>
    <row r="265" spans="1:13" ht="18">
      <c r="A265" s="28"/>
      <c r="B265" s="28" t="s">
        <v>437</v>
      </c>
      <c r="C265" s="28"/>
      <c r="D265" s="28"/>
      <c r="E265" s="48" t="s">
        <v>438</v>
      </c>
      <c r="F265" s="34" t="s">
        <v>67</v>
      </c>
      <c r="G265" s="47">
        <f>ABS(G165)</f>
        <v>3.4873833094781834</v>
      </c>
      <c r="H265" s="28" t="s">
        <v>69</v>
      </c>
      <c r="I265" s="84"/>
      <c r="J265" s="28"/>
      <c r="K265" s="28"/>
      <c r="L265" s="28"/>
      <c r="M265" s="30"/>
    </row>
    <row r="266" spans="1:13" ht="18">
      <c r="A266" s="28"/>
      <c r="B266" s="28" t="s">
        <v>436</v>
      </c>
      <c r="C266" s="28"/>
      <c r="D266" s="28"/>
      <c r="E266" s="48"/>
      <c r="F266" s="34" t="s">
        <v>67</v>
      </c>
      <c r="G266" s="37">
        <f>G264+G265</f>
        <v>1100.3964000417188</v>
      </c>
      <c r="H266" s="28" t="s">
        <v>69</v>
      </c>
      <c r="I266" s="84" t="s">
        <v>439</v>
      </c>
      <c r="J266" s="28"/>
      <c r="K266" s="28"/>
      <c r="L266" s="28"/>
      <c r="M266" s="30"/>
    </row>
    <row r="267" spans="1:13" ht="18">
      <c r="A267" s="28"/>
      <c r="B267" s="28" t="s">
        <v>435</v>
      </c>
      <c r="C267" s="28"/>
      <c r="D267" s="28"/>
      <c r="E267" s="33" t="s">
        <v>442</v>
      </c>
      <c r="F267" s="34" t="s">
        <v>67</v>
      </c>
      <c r="G267" s="37">
        <f>G259*24-G258*24</f>
        <v>388.8</v>
      </c>
      <c r="H267" s="28" t="s">
        <v>243</v>
      </c>
      <c r="I267" s="33" t="s">
        <v>443</v>
      </c>
      <c r="J267" s="28"/>
      <c r="K267" s="28"/>
      <c r="L267" s="28"/>
      <c r="M267" s="30"/>
    </row>
    <row r="268" spans="1:13" ht="18">
      <c r="A268" s="28"/>
      <c r="B268" s="28" t="s">
        <v>440</v>
      </c>
      <c r="C268" s="28"/>
      <c r="D268" s="28"/>
      <c r="E268" s="33" t="s">
        <v>441</v>
      </c>
      <c r="F268" s="34" t="s">
        <v>67</v>
      </c>
      <c r="G268" s="37">
        <f>1000*POWER(G265/(0.66*G270*EXP(9.1*G271)*0.00001*G266),(1/(0.75*(1-G271))))</f>
        <v>663.20822765047615</v>
      </c>
      <c r="H268" s="28" t="s">
        <v>243</v>
      </c>
      <c r="I268" s="28"/>
      <c r="J268" s="28"/>
      <c r="K268" s="28"/>
      <c r="L268" s="28"/>
      <c r="M268" s="30"/>
    </row>
    <row r="269" spans="1:13" ht="16.5">
      <c r="A269" s="28"/>
      <c r="B269" s="28" t="s">
        <v>241</v>
      </c>
      <c r="C269" s="28"/>
      <c r="D269" s="28"/>
      <c r="E269" s="48"/>
      <c r="F269" s="34"/>
      <c r="G269" s="141">
        <f>G162</f>
        <v>2</v>
      </c>
      <c r="H269" s="28"/>
      <c r="I269" s="28"/>
      <c r="J269" s="28"/>
      <c r="K269" s="28"/>
      <c r="L269" s="28"/>
      <c r="M269" s="30"/>
    </row>
    <row r="270" spans="1:13" ht="18">
      <c r="A270" s="28"/>
      <c r="B270" s="86" t="s">
        <v>234</v>
      </c>
      <c r="C270" s="28"/>
      <c r="D270" s="28"/>
      <c r="E270" s="48" t="s">
        <v>235</v>
      </c>
      <c r="F270" s="34" t="s">
        <v>67</v>
      </c>
      <c r="G270" s="37">
        <f>G163</f>
        <v>2.5</v>
      </c>
      <c r="H270" s="28" t="s">
        <v>236</v>
      </c>
      <c r="I270" s="28"/>
      <c r="J270" s="28"/>
      <c r="K270" s="28"/>
      <c r="L270" s="28"/>
      <c r="M270" s="30"/>
    </row>
    <row r="271" spans="1:13" ht="18">
      <c r="A271" s="28"/>
      <c r="B271" s="28"/>
      <c r="C271" s="28"/>
      <c r="D271" s="28"/>
      <c r="E271" s="100" t="s">
        <v>98</v>
      </c>
      <c r="F271" s="34" t="s">
        <v>67</v>
      </c>
      <c r="G271" s="47">
        <f>G266/G53</f>
        <v>0.59161096776436495</v>
      </c>
      <c r="H271" s="28"/>
      <c r="I271" s="101" t="s">
        <v>237</v>
      </c>
      <c r="J271" s="28"/>
      <c r="K271" s="28"/>
      <c r="L271" s="46" t="s">
        <v>240</v>
      </c>
      <c r="M271" s="30"/>
    </row>
    <row r="272" spans="1:13" ht="18">
      <c r="A272" s="28"/>
      <c r="B272" s="71" t="s">
        <v>444</v>
      </c>
      <c r="C272" s="28"/>
      <c r="D272" s="28"/>
      <c r="E272" s="96" t="s">
        <v>445</v>
      </c>
      <c r="F272" s="73" t="s">
        <v>67</v>
      </c>
      <c r="G272" s="95">
        <f>-G266*0.66*G270*EXP(9.1*G271)*POWER((G268+G267)/1000,0.75*(1-G271))*0.00001+G265</f>
        <v>-0.52933274354763471</v>
      </c>
      <c r="H272" s="71" t="s">
        <v>69</v>
      </c>
      <c r="I272" s="28"/>
      <c r="J272" s="28"/>
      <c r="K272" s="28"/>
      <c r="L272" s="28"/>
      <c r="M272" s="30"/>
    </row>
    <row r="273" spans="1:15" ht="16.5">
      <c r="A273" s="28"/>
      <c r="B273" s="28"/>
      <c r="C273" s="28"/>
      <c r="D273" s="28"/>
      <c r="E273" s="48"/>
      <c r="F273" s="34"/>
      <c r="G273" s="37"/>
      <c r="H273" s="28"/>
      <c r="I273" s="28"/>
      <c r="J273" s="28"/>
      <c r="K273" s="28"/>
      <c r="L273" s="28"/>
      <c r="M273" s="30"/>
      <c r="N273" s="30"/>
      <c r="O273" s="30"/>
    </row>
    <row r="274" spans="1:15" ht="16.5">
      <c r="A274" s="71" t="s">
        <v>512</v>
      </c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30"/>
      <c r="N274" s="30"/>
      <c r="O274" s="30"/>
    </row>
    <row r="275" spans="1:15" ht="18">
      <c r="A275" s="28"/>
      <c r="B275" s="28" t="s">
        <v>446</v>
      </c>
      <c r="C275" s="28"/>
      <c r="D275" s="28"/>
      <c r="E275" s="33" t="s">
        <v>448</v>
      </c>
      <c r="F275" s="34" t="s">
        <v>67</v>
      </c>
      <c r="G275" s="37">
        <f>G258</f>
        <v>4.8</v>
      </c>
      <c r="H275" s="28" t="s">
        <v>310</v>
      </c>
      <c r="I275" s="28" t="s">
        <v>450</v>
      </c>
      <c r="J275" s="28"/>
      <c r="K275" s="28"/>
      <c r="L275" s="28"/>
      <c r="M275" s="30"/>
      <c r="N275" s="30"/>
      <c r="O275" s="30"/>
    </row>
    <row r="276" spans="1:15" ht="18">
      <c r="A276" s="28"/>
      <c r="B276" s="28" t="s">
        <v>447</v>
      </c>
      <c r="C276" s="28"/>
      <c r="D276" s="28"/>
      <c r="E276" s="33" t="s">
        <v>144</v>
      </c>
      <c r="F276" s="34" t="s">
        <v>67</v>
      </c>
      <c r="G276" s="37">
        <f>G259</f>
        <v>21</v>
      </c>
      <c r="H276" s="28" t="s">
        <v>449</v>
      </c>
      <c r="I276" s="28"/>
      <c r="J276" s="28"/>
      <c r="K276" s="28"/>
      <c r="L276" s="28"/>
      <c r="M276" s="30"/>
      <c r="N276" s="30"/>
      <c r="O276" s="30"/>
    </row>
    <row r="277" spans="1:15" ht="18">
      <c r="A277" s="28"/>
      <c r="B277" s="28" t="s">
        <v>451</v>
      </c>
      <c r="C277" s="28"/>
      <c r="D277" s="28"/>
      <c r="E277" s="48" t="s">
        <v>453</v>
      </c>
      <c r="F277" s="34" t="s">
        <v>67</v>
      </c>
      <c r="G277" s="47">
        <f>G100</f>
        <v>39.934716048907561</v>
      </c>
      <c r="H277" s="28" t="s">
        <v>69</v>
      </c>
      <c r="I277" s="28"/>
      <c r="J277" s="28"/>
      <c r="K277" s="28"/>
      <c r="L277" s="28"/>
      <c r="M277" s="30"/>
      <c r="N277" s="30"/>
      <c r="O277" s="30"/>
    </row>
    <row r="278" spans="1:15" ht="18.75">
      <c r="A278" s="28"/>
      <c r="B278" s="28" t="s">
        <v>155</v>
      </c>
      <c r="C278" s="28"/>
      <c r="D278" s="28"/>
      <c r="E278" s="33" t="s">
        <v>156</v>
      </c>
      <c r="F278" s="34" t="s">
        <v>67</v>
      </c>
      <c r="G278" s="85">
        <f>G70</f>
        <v>0.20374</v>
      </c>
      <c r="H278" s="28" t="s">
        <v>127</v>
      </c>
      <c r="I278" s="28"/>
      <c r="J278" s="28"/>
      <c r="K278" s="28"/>
      <c r="L278" s="28"/>
      <c r="M278" s="30"/>
      <c r="N278" s="30"/>
      <c r="O278" s="30"/>
    </row>
    <row r="279" spans="1:15" ht="16.5">
      <c r="A279" s="28"/>
      <c r="B279" s="28" t="s">
        <v>456</v>
      </c>
      <c r="C279" s="28"/>
      <c r="D279" s="28"/>
      <c r="E279" s="33" t="s">
        <v>150</v>
      </c>
      <c r="F279" s="34" t="s">
        <v>67</v>
      </c>
      <c r="G279" s="34">
        <f>2*G12+2*G11</f>
        <v>3.2</v>
      </c>
      <c r="H279" s="28" t="s">
        <v>98</v>
      </c>
      <c r="I279" s="43" t="s">
        <v>457</v>
      </c>
      <c r="J279" s="28"/>
      <c r="K279" s="28"/>
      <c r="L279" s="28"/>
      <c r="M279" s="30"/>
      <c r="N279" s="30"/>
      <c r="O279" s="30"/>
    </row>
    <row r="280" spans="1:15" ht="18">
      <c r="A280" s="28"/>
      <c r="B280" s="28" t="s">
        <v>460</v>
      </c>
      <c r="C280" s="28"/>
      <c r="D280" s="28"/>
      <c r="E280" s="33" t="s">
        <v>461</v>
      </c>
      <c r="F280" s="34" t="s">
        <v>67</v>
      </c>
      <c r="G280" s="37">
        <f>G278*2/G279*1000</f>
        <v>127.33749999999999</v>
      </c>
      <c r="H280" s="28" t="s">
        <v>80</v>
      </c>
      <c r="I280" s="49" t="s">
        <v>462</v>
      </c>
      <c r="J280" s="28"/>
      <c r="K280" s="28"/>
      <c r="L280" s="46" t="s">
        <v>537</v>
      </c>
      <c r="M280" s="30"/>
      <c r="N280" s="30"/>
      <c r="O280" s="30"/>
    </row>
    <row r="281" spans="1:15" ht="18">
      <c r="A281" s="28"/>
      <c r="B281" s="28" t="s">
        <v>463</v>
      </c>
      <c r="C281" s="28"/>
      <c r="D281" s="28"/>
      <c r="E281" s="33" t="s">
        <v>464</v>
      </c>
      <c r="F281" s="34" t="s">
        <v>67</v>
      </c>
      <c r="G281" s="28">
        <f>IF(G280&lt;100,1,IF(G280&lt;200,1-(1-0.85)*(G280-100)/100,IF(G280&lt;300,0.85-(0.85-0.75)*(G280-200)/100,IF(G280&lt;500,0.75-(0.75-0.7)*(G280-300)/200,IF(G280=500,0.7,IF(G280&gt;500,0.7,0))))))</f>
        <v>0.95899374999999998</v>
      </c>
      <c r="H281" s="28" t="s">
        <v>199</v>
      </c>
      <c r="I281" s="28"/>
      <c r="J281" s="28"/>
      <c r="K281" s="28"/>
      <c r="L281" s="46" t="s">
        <v>465</v>
      </c>
      <c r="M281" s="30"/>
      <c r="N281" s="30"/>
      <c r="O281" s="30"/>
    </row>
    <row r="282" spans="1:15" ht="16.5">
      <c r="A282" s="28"/>
      <c r="B282" s="88" t="s">
        <v>487</v>
      </c>
      <c r="C282" s="28"/>
      <c r="D282" s="28"/>
      <c r="E282" s="28"/>
      <c r="F282" s="28"/>
      <c r="G282" s="28"/>
      <c r="H282" s="28"/>
      <c r="I282" s="28" t="s">
        <v>466</v>
      </c>
      <c r="J282" s="28"/>
      <c r="K282" s="28"/>
      <c r="L282" s="28"/>
      <c r="M282" s="30"/>
      <c r="N282" s="30"/>
      <c r="O282" s="30"/>
    </row>
    <row r="283" spans="1:15" ht="16.5">
      <c r="A283" s="28"/>
      <c r="B283" s="28"/>
      <c r="C283" s="28" t="s">
        <v>467</v>
      </c>
      <c r="D283" s="28"/>
      <c r="E283" s="28"/>
      <c r="F283" s="28"/>
      <c r="G283" s="86" t="str">
        <f>VLOOKUP(N48,Hodnoty!A41:E43,2,TRUE)</f>
        <v>R (CEM 42,5R; CEM 52,5N; CEM 52,5R)</v>
      </c>
      <c r="H283" s="28"/>
      <c r="I283" s="28"/>
      <c r="J283" s="28"/>
      <c r="K283" s="28"/>
      <c r="L283" s="28"/>
      <c r="M283" s="30"/>
      <c r="N283" s="30"/>
      <c r="O283" s="30"/>
    </row>
    <row r="284" spans="1:15" ht="18">
      <c r="A284" s="28"/>
      <c r="B284" s="28"/>
      <c r="C284" s="28" t="s">
        <v>477</v>
      </c>
      <c r="D284" s="28"/>
      <c r="E284" s="33" t="s">
        <v>478</v>
      </c>
      <c r="F284" s="34" t="s">
        <v>67</v>
      </c>
      <c r="G284" s="47">
        <f>VLOOKUP(N48,Hodnoty!A41:E43,4,TRUE)</f>
        <v>6</v>
      </c>
      <c r="H284" s="28" t="s">
        <v>199</v>
      </c>
      <c r="I284" s="28"/>
      <c r="J284" s="28"/>
      <c r="K284" s="28"/>
      <c r="L284" s="28"/>
      <c r="M284" s="30"/>
      <c r="N284" s="30"/>
      <c r="O284" s="30"/>
    </row>
    <row r="285" spans="1:15" ht="18">
      <c r="A285" s="28"/>
      <c r="B285" s="28"/>
      <c r="C285" s="28" t="s">
        <v>477</v>
      </c>
      <c r="D285" s="28"/>
      <c r="E285" s="33" t="s">
        <v>479</v>
      </c>
      <c r="F285" s="34" t="s">
        <v>67</v>
      </c>
      <c r="G285" s="47">
        <f>VLOOKUP(N48,Hodnoty!A41:E43,5,TRUE)</f>
        <v>0.11</v>
      </c>
      <c r="H285" s="28" t="s">
        <v>199</v>
      </c>
      <c r="I285" s="28"/>
      <c r="J285" s="28"/>
      <c r="K285" s="28"/>
      <c r="L285" s="28"/>
      <c r="M285" s="30"/>
      <c r="N285" s="30"/>
      <c r="O285" s="30"/>
    </row>
    <row r="286" spans="1:15" ht="16.5">
      <c r="A286" s="28"/>
      <c r="B286" s="28"/>
      <c r="C286" s="28" t="s">
        <v>480</v>
      </c>
      <c r="D286" s="28"/>
      <c r="E286" s="33" t="s">
        <v>481</v>
      </c>
      <c r="F286" s="34" t="s">
        <v>67</v>
      </c>
      <c r="G286" s="53">
        <v>60</v>
      </c>
      <c r="H286" s="28" t="s">
        <v>236</v>
      </c>
      <c r="I286" s="28"/>
      <c r="J286" s="28"/>
      <c r="K286" s="28"/>
      <c r="L286" s="28"/>
      <c r="M286" s="30"/>
      <c r="N286" s="30"/>
      <c r="O286" s="30"/>
    </row>
    <row r="287" spans="1:15" ht="18">
      <c r="A287" s="28"/>
      <c r="B287" s="28"/>
      <c r="C287" s="28" t="s">
        <v>482</v>
      </c>
      <c r="D287" s="28"/>
      <c r="E287" s="33" t="s">
        <v>483</v>
      </c>
      <c r="F287" s="34" t="s">
        <v>67</v>
      </c>
      <c r="G287" s="85">
        <f>1.55*(1-POWER(G286/100,3))</f>
        <v>1.2152000000000001</v>
      </c>
      <c r="H287" s="28" t="s">
        <v>199</v>
      </c>
      <c r="I287" s="28"/>
      <c r="J287" s="28"/>
      <c r="K287" s="28"/>
      <c r="L287" s="46" t="s">
        <v>484</v>
      </c>
      <c r="M287" s="30"/>
      <c r="N287" s="30"/>
      <c r="O287" s="30"/>
    </row>
    <row r="288" spans="1:15" ht="18">
      <c r="A288" s="28"/>
      <c r="B288" s="28"/>
      <c r="C288" s="28" t="s">
        <v>486</v>
      </c>
      <c r="D288" s="28"/>
      <c r="E288" s="33" t="s">
        <v>488</v>
      </c>
      <c r="F288" s="34" t="s">
        <v>67</v>
      </c>
      <c r="G288" s="85">
        <f>0.85*((220+110*G284)*EXP(-G285*G40/10))*0.001*G287</f>
        <v>0.50740609041391727</v>
      </c>
      <c r="H288" s="28" t="s">
        <v>489</v>
      </c>
      <c r="I288" s="28"/>
      <c r="J288" s="28"/>
      <c r="K288" s="28"/>
      <c r="L288" s="46" t="s">
        <v>485</v>
      </c>
      <c r="M288" s="30"/>
      <c r="N288" s="30"/>
      <c r="O288" s="30"/>
    </row>
    <row r="289" spans="1:15" ht="18">
      <c r="A289" s="28"/>
      <c r="B289" s="28" t="s">
        <v>490</v>
      </c>
      <c r="C289" s="28"/>
      <c r="D289" s="28"/>
      <c r="E289" s="33" t="s">
        <v>491</v>
      </c>
      <c r="F289" s="34" t="s">
        <v>67</v>
      </c>
      <c r="G289" s="85">
        <f>(G276-G275)/((G276-G275)+0.04*POWER(G280,3/2))</f>
        <v>0.21987851028326619</v>
      </c>
      <c r="H289" s="28" t="s">
        <v>199</v>
      </c>
      <c r="I289" s="28"/>
      <c r="J289" s="28"/>
      <c r="K289" s="28"/>
      <c r="L289" s="46" t="s">
        <v>492</v>
      </c>
      <c r="M289" s="30"/>
      <c r="N289" s="30"/>
      <c r="O289" s="30"/>
    </row>
    <row r="290" spans="1:15" ht="18">
      <c r="A290" s="28"/>
      <c r="B290" s="51" t="s">
        <v>493</v>
      </c>
      <c r="C290" s="28"/>
      <c r="D290" s="28"/>
      <c r="E290" s="33" t="s">
        <v>494</v>
      </c>
      <c r="F290" s="34" t="s">
        <v>67</v>
      </c>
      <c r="G290" s="85">
        <f>G289*G281*G288</f>
        <v>0.10699272246474936</v>
      </c>
      <c r="H290" s="28" t="s">
        <v>489</v>
      </c>
      <c r="I290" s="49" t="s">
        <v>495</v>
      </c>
      <c r="J290" s="28"/>
      <c r="K290" s="28"/>
      <c r="L290" s="46" t="s">
        <v>496</v>
      </c>
      <c r="M290" s="30"/>
      <c r="N290" s="30"/>
      <c r="O290" s="30"/>
    </row>
    <row r="291" spans="1:15" ht="18.75">
      <c r="A291" s="28"/>
      <c r="B291" s="28"/>
      <c r="C291" s="28"/>
      <c r="D291" s="28"/>
      <c r="E291" s="33" t="s">
        <v>498</v>
      </c>
      <c r="F291" s="34" t="s">
        <v>67</v>
      </c>
      <c r="G291" s="142">
        <f>2.5*(G42-10)*0.000001</f>
        <v>8.7499999999999999E-5</v>
      </c>
      <c r="H291" s="28" t="s">
        <v>199</v>
      </c>
      <c r="I291" s="49" t="s">
        <v>499</v>
      </c>
      <c r="J291" s="28"/>
      <c r="K291" s="28"/>
      <c r="L291" s="46" t="s">
        <v>502</v>
      </c>
      <c r="M291" s="30"/>
      <c r="N291" s="30"/>
      <c r="O291" s="30"/>
    </row>
    <row r="292" spans="1:15" ht="18.75">
      <c r="A292" s="28"/>
      <c r="B292" s="28"/>
      <c r="C292" s="28"/>
      <c r="D292" s="28"/>
      <c r="E292" s="33" t="s">
        <v>500</v>
      </c>
      <c r="F292" s="34" t="s">
        <v>67</v>
      </c>
      <c r="G292" s="85">
        <f>1-EXP(-0.2*POWER(G276,0.5))</f>
        <v>0.60008975277584775</v>
      </c>
      <c r="H292" s="28" t="s">
        <v>199</v>
      </c>
      <c r="I292" s="49" t="s">
        <v>501</v>
      </c>
      <c r="J292" s="28"/>
      <c r="K292" s="28"/>
      <c r="L292" s="46" t="s">
        <v>503</v>
      </c>
      <c r="M292" s="30"/>
      <c r="N292" s="30"/>
      <c r="O292" s="30"/>
    </row>
    <row r="293" spans="1:15" ht="18">
      <c r="A293" s="28"/>
      <c r="B293" s="51" t="s">
        <v>497</v>
      </c>
      <c r="C293" s="28"/>
      <c r="D293" s="28"/>
      <c r="E293" s="48" t="s">
        <v>934</v>
      </c>
      <c r="F293" s="34" t="s">
        <v>67</v>
      </c>
      <c r="G293" s="143">
        <f>G292*G291*1000</f>
        <v>5.250785336788668E-2</v>
      </c>
      <c r="H293" s="28" t="s">
        <v>489</v>
      </c>
      <c r="I293" s="49" t="s">
        <v>505</v>
      </c>
      <c r="J293" s="28"/>
      <c r="K293" s="28"/>
      <c r="L293" s="46" t="s">
        <v>506</v>
      </c>
      <c r="M293" s="30"/>
      <c r="N293" s="30"/>
      <c r="O293" s="30"/>
    </row>
    <row r="294" spans="1:15" ht="18">
      <c r="A294" s="28"/>
      <c r="B294" s="51" t="s">
        <v>507</v>
      </c>
      <c r="C294" s="28"/>
      <c r="D294" s="28"/>
      <c r="E294" s="33" t="s">
        <v>508</v>
      </c>
      <c r="F294" s="34" t="s">
        <v>67</v>
      </c>
      <c r="G294" s="143">
        <f>G293+G290</f>
        <v>0.15950057583263605</v>
      </c>
      <c r="H294" s="28" t="s">
        <v>489</v>
      </c>
      <c r="I294" s="49" t="s">
        <v>509</v>
      </c>
      <c r="J294" s="28"/>
      <c r="K294" s="28"/>
      <c r="L294" s="46" t="s">
        <v>510</v>
      </c>
      <c r="M294" s="30"/>
      <c r="N294" s="30"/>
      <c r="O294" s="30"/>
    </row>
    <row r="295" spans="1:15" ht="7.5" customHeight="1">
      <c r="A295" s="28"/>
      <c r="B295" s="51"/>
      <c r="C295" s="28"/>
      <c r="D295" s="28"/>
      <c r="E295" s="33"/>
      <c r="F295" s="34"/>
      <c r="G295" s="143"/>
      <c r="H295" s="28"/>
      <c r="I295" s="49"/>
      <c r="J295" s="28"/>
      <c r="K295" s="28"/>
      <c r="L295" s="46"/>
      <c r="M295" s="30"/>
      <c r="N295" s="30"/>
      <c r="O295" s="30"/>
    </row>
    <row r="296" spans="1:15" ht="18">
      <c r="A296" s="28"/>
      <c r="B296" s="71" t="s">
        <v>511</v>
      </c>
      <c r="C296" s="28"/>
      <c r="D296" s="28"/>
      <c r="E296" s="96" t="s">
        <v>513</v>
      </c>
      <c r="F296" s="73" t="s">
        <v>67</v>
      </c>
      <c r="G296" s="95">
        <f>-G294*0.001*G57*1000</f>
        <v>-31.102612287364032</v>
      </c>
      <c r="H296" s="71" t="s">
        <v>69</v>
      </c>
      <c r="I296" s="84" t="s">
        <v>514</v>
      </c>
      <c r="J296" s="28"/>
      <c r="K296" s="28"/>
      <c r="L296" s="28"/>
      <c r="M296" s="30"/>
      <c r="N296" s="30"/>
      <c r="O296" s="30"/>
    </row>
    <row r="297" spans="1:15" ht="7.5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30"/>
      <c r="N297" s="30"/>
      <c r="O297" s="30"/>
    </row>
    <row r="298" spans="1:15" ht="16.5">
      <c r="A298" s="71" t="s">
        <v>515</v>
      </c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30"/>
      <c r="N298" s="30"/>
      <c r="O298" s="30"/>
    </row>
    <row r="299" spans="1:15" ht="7.5" customHeight="1">
      <c r="A299" s="71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30"/>
      <c r="N299" s="30"/>
      <c r="O299" s="30"/>
    </row>
    <row r="300" spans="1:15" ht="18">
      <c r="A300" s="71"/>
      <c r="B300" s="28" t="s">
        <v>516</v>
      </c>
      <c r="C300" s="28"/>
      <c r="D300" s="28"/>
      <c r="E300" s="33" t="s">
        <v>543</v>
      </c>
      <c r="F300" s="34" t="s">
        <v>67</v>
      </c>
      <c r="G300" s="37">
        <f>G258</f>
        <v>4.8</v>
      </c>
      <c r="H300" s="28" t="s">
        <v>310</v>
      </c>
      <c r="I300" s="28"/>
      <c r="J300" s="28"/>
      <c r="K300" s="28"/>
      <c r="L300" s="28"/>
      <c r="M300" s="30"/>
      <c r="N300" s="30"/>
      <c r="O300" s="30"/>
    </row>
    <row r="301" spans="1:15" ht="18">
      <c r="A301" s="71"/>
      <c r="B301" s="28" t="s">
        <v>517</v>
      </c>
      <c r="C301" s="28"/>
      <c r="D301" s="28"/>
      <c r="E301" s="33" t="s">
        <v>564</v>
      </c>
      <c r="F301" s="34" t="s">
        <v>67</v>
      </c>
      <c r="G301" s="37">
        <f>G259</f>
        <v>21</v>
      </c>
      <c r="H301" s="28" t="s">
        <v>449</v>
      </c>
      <c r="I301" s="28"/>
      <c r="J301" s="28"/>
      <c r="K301" s="28"/>
      <c r="L301" s="28"/>
      <c r="M301" s="30"/>
      <c r="N301" s="30"/>
      <c r="O301" s="30"/>
    </row>
    <row r="302" spans="1:15" ht="16.5">
      <c r="A302" s="71"/>
      <c r="B302" s="51" t="s">
        <v>518</v>
      </c>
      <c r="C302" s="28"/>
      <c r="D302" s="28"/>
      <c r="E302" s="28"/>
      <c r="F302" s="28"/>
      <c r="G302" s="28"/>
      <c r="H302" s="28"/>
      <c r="I302" s="27" t="s">
        <v>521</v>
      </c>
      <c r="J302" s="27"/>
      <c r="K302" s="27"/>
      <c r="L302" s="27"/>
      <c r="M302" s="30"/>
      <c r="N302" s="30"/>
      <c r="O302" s="30"/>
    </row>
    <row r="303" spans="1:15" ht="18">
      <c r="A303" s="71"/>
      <c r="B303" s="51"/>
      <c r="C303" s="28" t="s">
        <v>519</v>
      </c>
      <c r="D303" s="28"/>
      <c r="E303" s="33" t="s">
        <v>412</v>
      </c>
      <c r="F303" s="34" t="s">
        <v>67</v>
      </c>
      <c r="G303" s="47">
        <f>1/8*G70*25*G15*G15</f>
        <v>201.72806750000001</v>
      </c>
      <c r="H303" s="28" t="s">
        <v>279</v>
      </c>
      <c r="I303" s="27"/>
      <c r="J303" s="27"/>
      <c r="K303" s="27"/>
      <c r="L303" s="27"/>
      <c r="M303" s="30"/>
      <c r="N303" s="30"/>
      <c r="O303" s="30"/>
    </row>
    <row r="304" spans="1:15" ht="18">
      <c r="A304" s="71"/>
      <c r="B304" s="51"/>
      <c r="C304" s="28" t="s">
        <v>520</v>
      </c>
      <c r="D304" s="28"/>
      <c r="E304" s="33" t="s">
        <v>522</v>
      </c>
      <c r="F304" s="34" t="s">
        <v>67</v>
      </c>
      <c r="G304" s="34">
        <f>G207</f>
        <v>1497.2808078395085</v>
      </c>
      <c r="H304" s="28" t="s">
        <v>119</v>
      </c>
      <c r="I304" s="244" t="s">
        <v>523</v>
      </c>
      <c r="J304" s="244"/>
      <c r="K304" s="244"/>
      <c r="L304" s="244"/>
      <c r="M304" s="30"/>
      <c r="N304" s="30"/>
      <c r="O304" s="30"/>
    </row>
    <row r="305" spans="1:15" ht="18">
      <c r="A305" s="71"/>
      <c r="B305" s="51"/>
      <c r="C305" s="28" t="s">
        <v>524</v>
      </c>
      <c r="D305" s="28"/>
      <c r="E305" s="33" t="s">
        <v>525</v>
      </c>
      <c r="F305" s="34" t="s">
        <v>67</v>
      </c>
      <c r="G305" s="47">
        <f>G309*G304</f>
        <v>189.95577105270365</v>
      </c>
      <c r="H305" s="28" t="s">
        <v>279</v>
      </c>
      <c r="I305" s="244"/>
      <c r="J305" s="244"/>
      <c r="K305" s="244"/>
      <c r="L305" s="244"/>
      <c r="M305" s="30"/>
      <c r="N305" s="30"/>
      <c r="O305" s="30"/>
    </row>
    <row r="306" spans="1:15" ht="18.75">
      <c r="A306" s="71"/>
      <c r="B306" s="28" t="s">
        <v>577</v>
      </c>
      <c r="C306" s="28"/>
      <c r="D306" s="28"/>
      <c r="E306" s="33" t="s">
        <v>124</v>
      </c>
      <c r="F306" s="34" t="s">
        <v>67</v>
      </c>
      <c r="G306" s="37">
        <f>G74</f>
        <v>1365</v>
      </c>
      <c r="H306" s="28" t="s">
        <v>99</v>
      </c>
      <c r="I306" s="144"/>
      <c r="J306" s="144"/>
      <c r="K306" s="144"/>
      <c r="L306" s="144"/>
      <c r="M306" s="30"/>
      <c r="N306" s="30"/>
      <c r="O306" s="30"/>
    </row>
    <row r="307" spans="1:15" ht="18.75">
      <c r="A307" s="71"/>
      <c r="B307" s="28" t="s">
        <v>155</v>
      </c>
      <c r="C307" s="45"/>
      <c r="D307" s="45"/>
      <c r="E307" s="33" t="s">
        <v>156</v>
      </c>
      <c r="F307" s="34" t="s">
        <v>67</v>
      </c>
      <c r="G307" s="34">
        <f>G70</f>
        <v>0.20374</v>
      </c>
      <c r="H307" s="28" t="s">
        <v>127</v>
      </c>
      <c r="I307" s="144"/>
      <c r="J307" s="144"/>
      <c r="K307" s="144"/>
      <c r="L307" s="144"/>
      <c r="M307" s="30"/>
      <c r="N307" s="30"/>
      <c r="O307" s="30"/>
    </row>
    <row r="308" spans="1:15" ht="18.75">
      <c r="A308" s="28"/>
      <c r="B308" s="28" t="s">
        <v>526</v>
      </c>
      <c r="C308" s="45"/>
      <c r="D308" s="45"/>
      <c r="E308" s="33" t="s">
        <v>190</v>
      </c>
      <c r="F308" s="34" t="s">
        <v>67</v>
      </c>
      <c r="G308" s="77">
        <f>G72</f>
        <v>4.2814000000000003E-3</v>
      </c>
      <c r="H308" s="28" t="s">
        <v>130</v>
      </c>
      <c r="I308" s="28"/>
      <c r="J308" s="28"/>
      <c r="K308" s="28"/>
      <c r="L308" s="28"/>
      <c r="M308" s="30"/>
      <c r="N308" s="30"/>
      <c r="O308" s="30"/>
    </row>
    <row r="309" spans="1:15" ht="18">
      <c r="A309" s="28"/>
      <c r="B309" s="28" t="s">
        <v>203</v>
      </c>
      <c r="C309" s="45"/>
      <c r="D309" s="45"/>
      <c r="E309" s="33" t="s">
        <v>204</v>
      </c>
      <c r="F309" s="34" t="s">
        <v>67</v>
      </c>
      <c r="G309" s="85">
        <f>G76</f>
        <v>0.1268671648351648</v>
      </c>
      <c r="H309" s="28" t="s">
        <v>98</v>
      </c>
      <c r="I309" s="28"/>
      <c r="J309" s="28"/>
      <c r="K309" s="28"/>
      <c r="L309" s="28"/>
      <c r="M309" s="30"/>
      <c r="N309" s="30"/>
      <c r="O309" s="30"/>
    </row>
    <row r="310" spans="1:15" ht="18">
      <c r="A310" s="28"/>
      <c r="B310" s="28" t="s">
        <v>527</v>
      </c>
      <c r="C310" s="28"/>
      <c r="D310" s="28"/>
      <c r="E310" s="48" t="s">
        <v>528</v>
      </c>
      <c r="F310" s="34" t="s">
        <v>67</v>
      </c>
      <c r="G310" s="85">
        <f>-G304*0.001/G307-G305*0.001*G309/G308+G303*0.001*G309/G308</f>
        <v>-7.0001394796713479</v>
      </c>
      <c r="H310" s="28" t="s">
        <v>69</v>
      </c>
      <c r="I310" s="28"/>
      <c r="J310" s="28"/>
      <c r="K310" s="28"/>
      <c r="L310" s="28"/>
      <c r="M310" s="30"/>
      <c r="N310" s="30"/>
      <c r="O310" s="30"/>
    </row>
    <row r="311" spans="1:15" ht="18">
      <c r="A311" s="28"/>
      <c r="B311" s="51" t="s">
        <v>538</v>
      </c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30"/>
      <c r="N311" s="30"/>
      <c r="O311" s="30"/>
    </row>
    <row r="312" spans="1:15" ht="18">
      <c r="A312" s="28"/>
      <c r="B312" s="28"/>
      <c r="C312" s="28" t="s">
        <v>530</v>
      </c>
      <c r="D312" s="28"/>
      <c r="E312" s="48" t="s">
        <v>531</v>
      </c>
      <c r="F312" s="34" t="s">
        <v>67</v>
      </c>
      <c r="G312" s="85">
        <f>POWER(35/$G$40,0.7)</f>
        <v>0.74791892460787612</v>
      </c>
      <c r="H312" s="28" t="s">
        <v>199</v>
      </c>
      <c r="I312" s="28"/>
      <c r="J312" s="28"/>
      <c r="K312" s="28"/>
      <c r="L312" s="28"/>
      <c r="M312" s="30"/>
      <c r="N312" s="30"/>
      <c r="O312" s="30"/>
    </row>
    <row r="313" spans="1:15" ht="18">
      <c r="A313" s="28"/>
      <c r="B313" s="28"/>
      <c r="C313" s="28"/>
      <c r="D313" s="28"/>
      <c r="E313" s="48" t="s">
        <v>324</v>
      </c>
      <c r="F313" s="34" t="s">
        <v>67</v>
      </c>
      <c r="G313" s="85">
        <f>POWER(35/$G$40,0.2)</f>
        <v>0.92036148244185478</v>
      </c>
      <c r="H313" s="28" t="s">
        <v>199</v>
      </c>
      <c r="I313" s="28"/>
      <c r="J313" s="28"/>
      <c r="K313" s="28"/>
      <c r="L313" s="46" t="s">
        <v>533</v>
      </c>
      <c r="M313" s="30"/>
      <c r="N313" s="30"/>
      <c r="O313" s="30"/>
    </row>
    <row r="314" spans="1:15" ht="18">
      <c r="A314" s="28"/>
      <c r="B314" s="28"/>
      <c r="C314" s="28"/>
      <c r="D314" s="28"/>
      <c r="E314" s="48" t="s">
        <v>532</v>
      </c>
      <c r="F314" s="34" t="s">
        <v>67</v>
      </c>
      <c r="G314" s="85">
        <f>POWER(35/$G$40,0.5)</f>
        <v>0.81263605537200112</v>
      </c>
      <c r="H314" s="28" t="s">
        <v>199</v>
      </c>
      <c r="I314" s="28"/>
      <c r="J314" s="28"/>
      <c r="K314" s="28"/>
      <c r="L314" s="28"/>
      <c r="M314" s="30"/>
      <c r="N314" s="30"/>
      <c r="O314" s="30"/>
    </row>
    <row r="315" spans="1:15" ht="16.5">
      <c r="A315" s="28"/>
      <c r="B315" s="28"/>
      <c r="C315" s="28" t="s">
        <v>480</v>
      </c>
      <c r="D315" s="28"/>
      <c r="E315" s="33" t="s">
        <v>481</v>
      </c>
      <c r="F315" s="34" t="s">
        <v>67</v>
      </c>
      <c r="G315" s="34">
        <f>$G$286</f>
        <v>60</v>
      </c>
      <c r="H315" s="28" t="s">
        <v>236</v>
      </c>
      <c r="I315" s="28"/>
      <c r="J315" s="28"/>
      <c r="K315" s="28"/>
      <c r="L315" s="28"/>
      <c r="M315" s="30"/>
      <c r="N315" s="30"/>
      <c r="O315" s="30"/>
    </row>
    <row r="316" spans="1:15" ht="18">
      <c r="A316" s="28"/>
      <c r="B316" s="28"/>
      <c r="C316" s="28" t="s">
        <v>534</v>
      </c>
      <c r="D316" s="28"/>
      <c r="E316" s="48" t="s">
        <v>535</v>
      </c>
      <c r="F316" s="34" t="s">
        <v>67</v>
      </c>
      <c r="G316" s="85">
        <f>(1+(1-G315/100)/(0.1*POWER(G280,1/3))*G312)*G313</f>
        <v>1.4676556780589445</v>
      </c>
      <c r="H316" s="28" t="s">
        <v>199</v>
      </c>
      <c r="I316" s="28"/>
      <c r="J316" s="28"/>
      <c r="K316" s="28"/>
      <c r="L316" s="145" t="s">
        <v>536</v>
      </c>
      <c r="M316" s="30"/>
      <c r="N316" s="30"/>
      <c r="O316" s="30"/>
    </row>
    <row r="317" spans="1:15" ht="18.75">
      <c r="A317" s="28"/>
      <c r="B317" s="28"/>
      <c r="C317" s="28" t="s">
        <v>530</v>
      </c>
      <c r="D317" s="28"/>
      <c r="E317" s="33" t="s">
        <v>539</v>
      </c>
      <c r="F317" s="34" t="s">
        <v>67</v>
      </c>
      <c r="G317" s="85">
        <f>16.8/POWER($G$40,0.5)</f>
        <v>2.3076574743379759</v>
      </c>
      <c r="H317" s="28" t="s">
        <v>199</v>
      </c>
      <c r="I317" s="49" t="s">
        <v>540</v>
      </c>
      <c r="J317" s="28"/>
      <c r="K317" s="28"/>
      <c r="L317" s="46" t="s">
        <v>541</v>
      </c>
      <c r="M317" s="30"/>
      <c r="N317" s="30"/>
      <c r="O317" s="30"/>
    </row>
    <row r="318" spans="1:15" ht="18">
      <c r="A318" s="28"/>
      <c r="B318" s="28"/>
      <c r="C318" s="86" t="s">
        <v>544</v>
      </c>
      <c r="D318" s="28"/>
      <c r="E318" s="33" t="s">
        <v>545</v>
      </c>
      <c r="F318" s="34" t="s">
        <v>67</v>
      </c>
      <c r="G318" s="37">
        <f>G300</f>
        <v>4.8</v>
      </c>
      <c r="H318" s="28" t="s">
        <v>546</v>
      </c>
      <c r="I318" s="27" t="s">
        <v>547</v>
      </c>
      <c r="J318" s="27"/>
      <c r="K318" s="27"/>
      <c r="L318" s="27"/>
      <c r="M318" s="30"/>
      <c r="N318" s="30"/>
      <c r="O318" s="30"/>
    </row>
    <row r="319" spans="1:15" ht="12.75" customHeight="1">
      <c r="A319" s="28"/>
      <c r="B319" s="28"/>
      <c r="C319" s="45"/>
      <c r="D319" s="45"/>
      <c r="E319" s="45"/>
      <c r="F319" s="28"/>
      <c r="G319" s="28"/>
      <c r="H319" s="28"/>
      <c r="I319" s="244" t="s">
        <v>935</v>
      </c>
      <c r="J319" s="244"/>
      <c r="K319" s="244"/>
      <c r="L319" s="244"/>
      <c r="M319" s="30"/>
      <c r="N319" s="30"/>
      <c r="O319" s="30"/>
    </row>
    <row r="320" spans="1:15" ht="16.5">
      <c r="A320" s="28"/>
      <c r="B320" s="28"/>
      <c r="C320" s="28" t="s">
        <v>549</v>
      </c>
      <c r="D320" s="28"/>
      <c r="E320" s="100" t="s">
        <v>361</v>
      </c>
      <c r="F320" s="34" t="s">
        <v>67</v>
      </c>
      <c r="G320" s="37">
        <f>VLOOKUP(N48,Hodnoty!A41:F43,6,TRUE)</f>
        <v>1</v>
      </c>
      <c r="H320" s="28" t="s">
        <v>199</v>
      </c>
      <c r="I320" s="244"/>
      <c r="J320" s="244"/>
      <c r="K320" s="244"/>
      <c r="L320" s="244"/>
      <c r="M320" s="30"/>
      <c r="N320" s="30"/>
      <c r="O320" s="30"/>
    </row>
    <row r="321" spans="1:15" ht="18.75">
      <c r="A321" s="28"/>
      <c r="B321" s="28"/>
      <c r="C321" s="28" t="s">
        <v>542</v>
      </c>
      <c r="D321" s="28"/>
      <c r="E321" s="33" t="s">
        <v>548</v>
      </c>
      <c r="F321" s="34" t="s">
        <v>67</v>
      </c>
      <c r="G321" s="37">
        <f>IF(G318*POWER((9/(2+POWER(G318,1.2))+1),G320)&gt;0.5,G318*POWER((9/(2+POWER(G318,1.2))+1),G320),0.5)</f>
        <v>9.8415154103516649</v>
      </c>
      <c r="H321" s="28" t="s">
        <v>546</v>
      </c>
      <c r="I321" s="28" t="s">
        <v>550</v>
      </c>
      <c r="J321" s="28"/>
      <c r="K321" s="28"/>
      <c r="L321" s="46" t="s">
        <v>554</v>
      </c>
      <c r="M321" s="30"/>
      <c r="N321" s="30"/>
      <c r="O321" s="30"/>
    </row>
    <row r="322" spans="1:15" ht="18.75">
      <c r="A322" s="28"/>
      <c r="B322" s="28"/>
      <c r="C322" s="28" t="s">
        <v>551</v>
      </c>
      <c r="D322" s="28"/>
      <c r="E322" s="33" t="s">
        <v>553</v>
      </c>
      <c r="F322" s="34" t="s">
        <v>67</v>
      </c>
      <c r="G322" s="85">
        <f>1/(0.1+POWER(G321,0.2))</f>
        <v>0.59529570547238519</v>
      </c>
      <c r="H322" s="28" t="s">
        <v>199</v>
      </c>
      <c r="I322" s="49" t="s">
        <v>555</v>
      </c>
      <c r="J322" s="28"/>
      <c r="K322" s="28"/>
      <c r="L322" s="46" t="s">
        <v>556</v>
      </c>
      <c r="M322" s="30"/>
      <c r="N322" s="30"/>
      <c r="O322" s="30"/>
    </row>
    <row r="323" spans="1:15" ht="18.75">
      <c r="A323" s="28"/>
      <c r="B323" s="28"/>
      <c r="C323" s="28" t="s">
        <v>477</v>
      </c>
      <c r="D323" s="28"/>
      <c r="E323" s="48" t="s">
        <v>557</v>
      </c>
      <c r="F323" s="34" t="s">
        <v>67</v>
      </c>
      <c r="G323" s="37">
        <f>IF((1.5*(1+POWER((0.012*G315),18))*G280+250*G314)&gt;1500*G314,1500,1.5*(1+POWER((0.012*G315),18))*G280+250*G314)</f>
        <v>394.68171887585959</v>
      </c>
      <c r="H323" s="28" t="s">
        <v>199</v>
      </c>
      <c r="I323" s="84" t="s">
        <v>558</v>
      </c>
      <c r="J323" s="28"/>
      <c r="K323" s="28"/>
      <c r="L323" s="145" t="s">
        <v>559</v>
      </c>
      <c r="M323" s="30"/>
      <c r="N323" s="30"/>
      <c r="O323" s="30"/>
    </row>
    <row r="324" spans="1:15" ht="18.75">
      <c r="A324" s="28"/>
      <c r="B324" s="28"/>
      <c r="C324" s="28" t="s">
        <v>560</v>
      </c>
      <c r="D324" s="28"/>
      <c r="E324" s="33" t="s">
        <v>562</v>
      </c>
      <c r="F324" s="34" t="s">
        <v>67</v>
      </c>
      <c r="G324" s="85">
        <f>POWER((G301-G321)/(G323+G301-G321),0.3)</f>
        <v>0.34023191161774391</v>
      </c>
      <c r="H324" s="28" t="s">
        <v>199</v>
      </c>
      <c r="I324" s="49" t="s">
        <v>563</v>
      </c>
      <c r="J324" s="28"/>
      <c r="K324" s="28"/>
      <c r="L324" s="46" t="s">
        <v>561</v>
      </c>
      <c r="M324" s="30"/>
      <c r="N324" s="30"/>
      <c r="O324" s="30"/>
    </row>
    <row r="325" spans="1:15" ht="18">
      <c r="A325" s="28"/>
      <c r="B325" s="28"/>
      <c r="C325" s="28" t="s">
        <v>565</v>
      </c>
      <c r="D325" s="28"/>
      <c r="E325" s="48" t="s">
        <v>566</v>
      </c>
      <c r="F325" s="34" t="s">
        <v>67</v>
      </c>
      <c r="G325" s="85">
        <f>G316*G317*G322</f>
        <v>2.0161752332325773</v>
      </c>
      <c r="H325" s="28" t="s">
        <v>199</v>
      </c>
      <c r="I325" s="84" t="s">
        <v>567</v>
      </c>
      <c r="J325" s="28"/>
      <c r="K325" s="28"/>
      <c r="L325" s="46" t="s">
        <v>568</v>
      </c>
      <c r="M325" s="30"/>
      <c r="N325" s="30"/>
      <c r="O325" s="30"/>
    </row>
    <row r="326" spans="1:15" ht="18">
      <c r="A326" s="28"/>
      <c r="B326" s="28" t="s">
        <v>529</v>
      </c>
      <c r="C326" s="28"/>
      <c r="D326" s="28"/>
      <c r="E326" s="33" t="s">
        <v>572</v>
      </c>
      <c r="F326" s="34" t="s">
        <v>67</v>
      </c>
      <c r="G326" s="85">
        <f>G325*G324</f>
        <v>0.68596715375907047</v>
      </c>
      <c r="H326" s="28" t="s">
        <v>199</v>
      </c>
      <c r="I326" s="49" t="s">
        <v>573</v>
      </c>
      <c r="J326" s="28"/>
      <c r="K326" s="28"/>
      <c r="L326" s="46" t="s">
        <v>569</v>
      </c>
      <c r="M326" s="30"/>
      <c r="N326" s="30"/>
      <c r="O326" s="30"/>
    </row>
    <row r="327" spans="1:15" ht="7.5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30"/>
      <c r="N327" s="30"/>
      <c r="O327" s="30"/>
    </row>
    <row r="328" spans="1:15" ht="18">
      <c r="A328" s="28"/>
      <c r="B328" s="71" t="s">
        <v>570</v>
      </c>
      <c r="C328" s="28"/>
      <c r="D328" s="28"/>
      <c r="E328" s="96" t="s">
        <v>571</v>
      </c>
      <c r="F328" s="73" t="s">
        <v>67</v>
      </c>
      <c r="G328" s="95">
        <f>G57/G44*G326*G310</f>
        <v>-28.900117968623388</v>
      </c>
      <c r="H328" s="71" t="s">
        <v>69</v>
      </c>
      <c r="I328" s="84" t="s">
        <v>574</v>
      </c>
      <c r="J328" s="28"/>
      <c r="K328" s="28"/>
      <c r="L328" s="28"/>
      <c r="M328" s="30"/>
      <c r="N328" s="30"/>
      <c r="O328" s="30"/>
    </row>
    <row r="329" spans="1:15" ht="7.5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30"/>
      <c r="N329" s="30"/>
      <c r="O329" s="30"/>
    </row>
    <row r="330" spans="1:15" ht="16.5">
      <c r="A330" s="71" t="s">
        <v>575</v>
      </c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30"/>
      <c r="N330" s="30"/>
      <c r="O330" s="30"/>
    </row>
    <row r="331" spans="1:15" ht="18">
      <c r="A331" s="28"/>
      <c r="B331" s="71" t="s">
        <v>576</v>
      </c>
      <c r="C331" s="28"/>
      <c r="D331" s="28"/>
      <c r="E331" s="96" t="s">
        <v>645</v>
      </c>
      <c r="F331" s="73" t="s">
        <v>67</v>
      </c>
      <c r="G331" s="95">
        <f>(G296+0.8*G272+G328)/(1+G57/G44*G306*0.000001/G307*(1+G307/G308*G309*G309)*(1+0.8*G326))</f>
        <v>-54.424154230490558</v>
      </c>
      <c r="H331" s="71" t="s">
        <v>69</v>
      </c>
      <c r="I331" s="28"/>
      <c r="J331" s="28"/>
      <c r="K331" s="28"/>
      <c r="L331" s="28"/>
      <c r="M331" s="30"/>
      <c r="N331" s="30"/>
      <c r="O331" s="30"/>
    </row>
    <row r="332" spans="1:15" ht="16.5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30"/>
      <c r="N332" s="30"/>
      <c r="O332" s="30"/>
    </row>
    <row r="333" spans="1:15" ht="16.5">
      <c r="A333" s="71" t="s">
        <v>578</v>
      </c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30"/>
      <c r="N333" s="30"/>
      <c r="O333" s="30"/>
    </row>
    <row r="334" spans="1:15" ht="18">
      <c r="A334" s="28"/>
      <c r="B334" s="28" t="s">
        <v>579</v>
      </c>
      <c r="C334" s="28"/>
      <c r="D334" s="28"/>
      <c r="E334" s="96" t="s">
        <v>580</v>
      </c>
      <c r="F334" s="73" t="s">
        <v>67</v>
      </c>
      <c r="G334" s="146">
        <v>0</v>
      </c>
      <c r="H334" s="71" t="s">
        <v>69</v>
      </c>
      <c r="I334" s="28"/>
      <c r="J334" s="28"/>
      <c r="K334" s="28"/>
      <c r="L334" s="28"/>
      <c r="M334" s="30"/>
      <c r="N334" s="30"/>
      <c r="O334" s="30"/>
    </row>
    <row r="335" spans="1:15" ht="7.5" customHeight="1" thickBo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30"/>
      <c r="N335" s="30"/>
      <c r="O335" s="30"/>
    </row>
    <row r="336" spans="1:15" ht="19.5">
      <c r="A336" s="28"/>
      <c r="B336" s="54" t="s">
        <v>939</v>
      </c>
      <c r="C336" s="55"/>
      <c r="D336" s="55"/>
      <c r="E336" s="147" t="s">
        <v>941</v>
      </c>
      <c r="F336" s="148" t="s">
        <v>67</v>
      </c>
      <c r="G336" s="149">
        <f>G201+G331+G334</f>
        <v>1042.4848625017501</v>
      </c>
      <c r="H336" s="58" t="s">
        <v>69</v>
      </c>
      <c r="I336" s="59"/>
      <c r="J336" s="59"/>
      <c r="K336" s="59"/>
      <c r="L336" s="121"/>
      <c r="M336" s="30"/>
      <c r="N336" s="30"/>
      <c r="O336" s="30"/>
    </row>
    <row r="337" spans="1:15" ht="18">
      <c r="A337" s="28"/>
      <c r="B337" s="122" t="s">
        <v>584</v>
      </c>
      <c r="C337" s="62"/>
      <c r="D337" s="62"/>
      <c r="E337" s="107"/>
      <c r="F337" s="107"/>
      <c r="G337" s="107"/>
      <c r="H337" s="107"/>
      <c r="I337" s="107"/>
      <c r="J337" s="107"/>
      <c r="K337" s="107"/>
      <c r="L337" s="112"/>
      <c r="M337" s="30"/>
      <c r="N337" s="30"/>
      <c r="O337" s="30"/>
    </row>
    <row r="338" spans="1:15" ht="18.75" thickBot="1">
      <c r="A338" s="28"/>
      <c r="B338" s="150"/>
      <c r="C338" s="151"/>
      <c r="D338" s="152"/>
      <c r="E338" s="153" t="s">
        <v>940</v>
      </c>
      <c r="F338" s="69" t="s">
        <v>67</v>
      </c>
      <c r="G338" s="154">
        <f>G336*G306*0.001</f>
        <v>1422.9918373148889</v>
      </c>
      <c r="H338" s="132" t="s">
        <v>119</v>
      </c>
      <c r="I338" s="134" t="s">
        <v>936</v>
      </c>
      <c r="J338" s="68"/>
      <c r="K338" s="68"/>
      <c r="L338" s="155"/>
      <c r="M338" s="30"/>
      <c r="N338" s="30"/>
      <c r="O338" s="30"/>
    </row>
    <row r="339" spans="1:15" ht="7.5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30"/>
      <c r="N339" s="30"/>
      <c r="O339" s="30"/>
    </row>
    <row r="340" spans="1:15" ht="18">
      <c r="A340" s="31" t="s">
        <v>942</v>
      </c>
      <c r="B340" s="32"/>
      <c r="C340" s="32"/>
      <c r="D340" s="32"/>
      <c r="E340" s="32"/>
      <c r="F340" s="32"/>
      <c r="G340" s="32"/>
      <c r="H340" s="32"/>
      <c r="I340" s="28"/>
      <c r="J340" s="28"/>
      <c r="K340" s="28"/>
      <c r="L340" s="28"/>
      <c r="M340" s="30"/>
      <c r="N340" s="30"/>
      <c r="O340" s="30"/>
    </row>
    <row r="341" spans="1:15" ht="7.5" customHeight="1">
      <c r="A341" s="71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30"/>
      <c r="N341" s="30"/>
      <c r="O341" s="30"/>
    </row>
    <row r="342" spans="1:15" ht="18">
      <c r="A342" s="71" t="s">
        <v>432</v>
      </c>
      <c r="B342" s="28"/>
      <c r="C342" s="28"/>
      <c r="D342" s="28"/>
      <c r="E342" s="96"/>
      <c r="F342" s="73"/>
      <c r="G342" s="90"/>
      <c r="H342" s="71"/>
      <c r="I342" s="28"/>
      <c r="J342" s="28"/>
      <c r="K342" s="28"/>
      <c r="L342" s="28"/>
      <c r="M342" s="30"/>
      <c r="N342" s="30"/>
      <c r="O342" s="30"/>
    </row>
    <row r="343" spans="1:15" ht="18">
      <c r="A343" s="28"/>
      <c r="B343" s="28" t="s">
        <v>229</v>
      </c>
      <c r="C343" s="28"/>
      <c r="D343" s="28"/>
      <c r="E343" s="48" t="s">
        <v>433</v>
      </c>
      <c r="F343" s="34" t="s">
        <v>67</v>
      </c>
      <c r="G343" s="37">
        <f>G202</f>
        <v>1066.2551902717858</v>
      </c>
      <c r="H343" s="28" t="s">
        <v>69</v>
      </c>
      <c r="I343" s="84"/>
      <c r="J343" s="28"/>
      <c r="K343" s="28"/>
      <c r="L343" s="28"/>
      <c r="M343" s="30"/>
      <c r="N343" s="30"/>
      <c r="O343" s="30"/>
    </row>
    <row r="344" spans="1:15" ht="18">
      <c r="A344" s="28"/>
      <c r="B344" s="28" t="s">
        <v>943</v>
      </c>
      <c r="C344" s="28"/>
      <c r="D344" s="28"/>
      <c r="E344" s="48" t="s">
        <v>438</v>
      </c>
      <c r="F344" s="34" t="s">
        <v>67</v>
      </c>
      <c r="G344" s="47">
        <f>ABS(G165)</f>
        <v>3.4873833094781834</v>
      </c>
      <c r="H344" s="28" t="s">
        <v>69</v>
      </c>
      <c r="I344" s="84"/>
      <c r="J344" s="28"/>
      <c r="K344" s="28"/>
      <c r="L344" s="28"/>
      <c r="M344" s="30"/>
      <c r="N344" s="30"/>
      <c r="O344" s="30"/>
    </row>
    <row r="345" spans="1:15" ht="18">
      <c r="A345" s="28"/>
      <c r="B345" s="28" t="s">
        <v>436</v>
      </c>
      <c r="C345" s="28"/>
      <c r="D345" s="28"/>
      <c r="E345" s="48"/>
      <c r="F345" s="34" t="s">
        <v>67</v>
      </c>
      <c r="G345" s="37">
        <f>G343+G344</f>
        <v>1069.742573581264</v>
      </c>
      <c r="H345" s="28" t="s">
        <v>69</v>
      </c>
      <c r="I345" s="84" t="s">
        <v>439</v>
      </c>
      <c r="J345" s="28"/>
      <c r="K345" s="28"/>
      <c r="L345" s="28"/>
      <c r="M345" s="30"/>
      <c r="N345" s="30"/>
      <c r="O345" s="30"/>
    </row>
    <row r="346" spans="1:15" ht="18">
      <c r="A346" s="28"/>
      <c r="B346" s="28" t="s">
        <v>435</v>
      </c>
      <c r="C346" s="28"/>
      <c r="D346" s="28"/>
      <c r="E346" s="33" t="s">
        <v>442</v>
      </c>
      <c r="F346" s="34" t="s">
        <v>67</v>
      </c>
      <c r="G346" s="37">
        <f>G259*24-G258*24</f>
        <v>388.8</v>
      </c>
      <c r="H346" s="28" t="s">
        <v>243</v>
      </c>
      <c r="I346" s="33" t="s">
        <v>443</v>
      </c>
      <c r="J346" s="28"/>
      <c r="K346" s="28"/>
      <c r="L346" s="28"/>
      <c r="M346" s="30"/>
      <c r="N346" s="30"/>
      <c r="O346" s="30"/>
    </row>
    <row r="347" spans="1:15" ht="18">
      <c r="A347" s="28"/>
      <c r="B347" s="28" t="s">
        <v>440</v>
      </c>
      <c r="C347" s="28"/>
      <c r="D347" s="28"/>
      <c r="E347" s="33" t="s">
        <v>441</v>
      </c>
      <c r="F347" s="34" t="s">
        <v>67</v>
      </c>
      <c r="G347" s="37">
        <f>1000*POWER(G265/(0.66*G270*EXP(9.1*G271)*0.00001*G266),(1/(0.75*(1-G271))))</f>
        <v>663.20822765047615</v>
      </c>
      <c r="H347" s="28" t="s">
        <v>243</v>
      </c>
      <c r="I347" s="28"/>
      <c r="J347" s="28"/>
      <c r="K347" s="28"/>
      <c r="L347" s="28"/>
      <c r="M347" s="30"/>
      <c r="N347" s="30"/>
      <c r="O347" s="30"/>
    </row>
    <row r="348" spans="1:15" ht="16.5">
      <c r="A348" s="28"/>
      <c r="B348" s="28" t="s">
        <v>241</v>
      </c>
      <c r="C348" s="28"/>
      <c r="D348" s="28"/>
      <c r="E348" s="48"/>
      <c r="F348" s="34"/>
      <c r="G348" s="141">
        <f>G162</f>
        <v>2</v>
      </c>
      <c r="H348" s="28"/>
      <c r="I348" s="28"/>
      <c r="J348" s="28"/>
      <c r="K348" s="28"/>
      <c r="L348" s="28"/>
      <c r="M348" s="30"/>
      <c r="N348" s="30"/>
      <c r="O348" s="30"/>
    </row>
    <row r="349" spans="1:15" ht="18">
      <c r="A349" s="28"/>
      <c r="B349" s="86" t="s">
        <v>234</v>
      </c>
      <c r="C349" s="28"/>
      <c r="D349" s="28"/>
      <c r="E349" s="48" t="s">
        <v>235</v>
      </c>
      <c r="F349" s="34" t="s">
        <v>67</v>
      </c>
      <c r="G349" s="37">
        <f>G163</f>
        <v>2.5</v>
      </c>
      <c r="H349" s="28" t="s">
        <v>236</v>
      </c>
      <c r="I349" s="28"/>
      <c r="J349" s="28"/>
      <c r="K349" s="28"/>
      <c r="L349" s="28"/>
      <c r="M349" s="30"/>
      <c r="N349" s="30"/>
      <c r="O349" s="30"/>
    </row>
    <row r="350" spans="1:15" ht="18">
      <c r="A350" s="28"/>
      <c r="B350" s="28"/>
      <c r="C350" s="28"/>
      <c r="D350" s="28"/>
      <c r="E350" s="100" t="s">
        <v>98</v>
      </c>
      <c r="F350" s="34" t="s">
        <v>67</v>
      </c>
      <c r="G350" s="47">
        <f>G345/G53</f>
        <v>0.57513041590390535</v>
      </c>
      <c r="H350" s="28"/>
      <c r="I350" s="101" t="s">
        <v>237</v>
      </c>
      <c r="J350" s="28"/>
      <c r="K350" s="28"/>
      <c r="L350" s="46" t="s">
        <v>240</v>
      </c>
      <c r="M350" s="30"/>
      <c r="N350" s="30"/>
      <c r="O350" s="30"/>
    </row>
    <row r="351" spans="1:15" ht="18">
      <c r="A351" s="28"/>
      <c r="B351" s="71" t="s">
        <v>444</v>
      </c>
      <c r="C351" s="28"/>
      <c r="D351" s="28"/>
      <c r="E351" s="96" t="s">
        <v>445</v>
      </c>
      <c r="F351" s="73" t="s">
        <v>67</v>
      </c>
      <c r="G351" s="95">
        <f>IF((-G345*0.66*G349*EXP(9.1*G350)*POWER((G347+G346)/1000,0.75*(1-G350))*0.00001+G344)&gt;0,0,(-G345*0.66*G349*EXP(9.1*G350)*POWER((G347+G346)/1000,0.75*(1-G350))*0.00001+G344))</f>
        <v>0</v>
      </c>
      <c r="H351" s="71" t="s">
        <v>69</v>
      </c>
      <c r="I351" s="28"/>
      <c r="J351" s="28"/>
      <c r="K351" s="28"/>
      <c r="L351" s="28"/>
      <c r="M351" s="30"/>
      <c r="N351" s="30"/>
      <c r="O351" s="30"/>
    </row>
    <row r="352" spans="1:15" ht="7.5" customHeight="1">
      <c r="A352" s="28"/>
      <c r="B352" s="28"/>
      <c r="C352" s="28"/>
      <c r="D352" s="28"/>
      <c r="E352" s="48"/>
      <c r="F352" s="34"/>
      <c r="G352" s="37"/>
      <c r="H352" s="28"/>
      <c r="I352" s="28"/>
      <c r="J352" s="28"/>
      <c r="K352" s="28"/>
      <c r="L352" s="28"/>
      <c r="M352" s="30"/>
      <c r="N352" s="30"/>
      <c r="O352" s="30"/>
    </row>
    <row r="353" spans="1:15" ht="16.5">
      <c r="A353" s="71" t="s">
        <v>512</v>
      </c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30"/>
      <c r="N353" s="30"/>
      <c r="O353" s="30"/>
    </row>
    <row r="354" spans="1:15" ht="16.5">
      <c r="A354" s="28"/>
      <c r="B354" s="27" t="s">
        <v>586</v>
      </c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30"/>
      <c r="N354" s="30"/>
      <c r="O354" s="30"/>
    </row>
    <row r="355" spans="1:15" ht="18">
      <c r="A355" s="28"/>
      <c r="B355" s="28" t="s">
        <v>511</v>
      </c>
      <c r="C355" s="28"/>
      <c r="D355" s="28"/>
      <c r="E355" s="96" t="s">
        <v>513</v>
      </c>
      <c r="F355" s="73" t="s">
        <v>67</v>
      </c>
      <c r="G355" s="95">
        <f>G296</f>
        <v>-31.102612287364032</v>
      </c>
      <c r="H355" s="71" t="s">
        <v>69</v>
      </c>
      <c r="I355" s="28"/>
      <c r="J355" s="28"/>
      <c r="K355" s="28"/>
      <c r="L355" s="28"/>
      <c r="M355" s="30"/>
      <c r="N355" s="30"/>
      <c r="O355" s="30"/>
    </row>
    <row r="356" spans="1:15" ht="7.5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30"/>
      <c r="N356" s="30"/>
      <c r="O356" s="30"/>
    </row>
    <row r="357" spans="1:15" ht="16.5">
      <c r="A357" s="71" t="s">
        <v>515</v>
      </c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30"/>
      <c r="N357" s="30"/>
      <c r="O357" s="30"/>
    </row>
    <row r="358" spans="1:15" ht="6.75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30"/>
      <c r="N358" s="30"/>
      <c r="O358" s="30"/>
    </row>
    <row r="359" spans="1:15" ht="16.5">
      <c r="A359" s="71"/>
      <c r="B359" s="51" t="s">
        <v>518</v>
      </c>
      <c r="C359" s="28"/>
      <c r="D359" s="28"/>
      <c r="E359" s="28"/>
      <c r="F359" s="28"/>
      <c r="G359" s="28"/>
      <c r="H359" s="28"/>
      <c r="I359" s="27" t="s">
        <v>521</v>
      </c>
      <c r="J359" s="28"/>
      <c r="K359" s="28"/>
      <c r="L359" s="28"/>
      <c r="M359" s="30"/>
      <c r="N359" s="30"/>
      <c r="O359" s="30"/>
    </row>
    <row r="360" spans="1:15" ht="18">
      <c r="A360" s="71"/>
      <c r="B360" s="28"/>
      <c r="C360" s="28" t="s">
        <v>366</v>
      </c>
      <c r="D360" s="28"/>
      <c r="E360" s="33" t="s">
        <v>365</v>
      </c>
      <c r="F360" s="34" t="s">
        <v>67</v>
      </c>
      <c r="G360" s="85">
        <f>G125/1000</f>
        <v>0.75069682129720616</v>
      </c>
      <c r="H360" s="28" t="s">
        <v>98</v>
      </c>
      <c r="I360" s="28"/>
      <c r="J360" s="28"/>
      <c r="K360" s="28"/>
      <c r="L360" s="28"/>
      <c r="M360" s="30"/>
      <c r="N360" s="30"/>
      <c r="O360" s="30"/>
    </row>
    <row r="361" spans="1:15" ht="18">
      <c r="A361" s="71"/>
      <c r="B361" s="51"/>
      <c r="C361" s="28" t="s">
        <v>519</v>
      </c>
      <c r="D361" s="28"/>
      <c r="E361" s="33" t="s">
        <v>594</v>
      </c>
      <c r="F361" s="34" t="s">
        <v>67</v>
      </c>
      <c r="G361" s="47">
        <f>1/2*G70*25*G15*G360-1/2*G360*G360*G70*25</f>
        <v>32.595490851510426</v>
      </c>
      <c r="H361" s="28" t="s">
        <v>279</v>
      </c>
      <c r="I361" s="28"/>
      <c r="J361" s="28"/>
      <c r="K361" s="28"/>
      <c r="L361" s="28"/>
      <c r="M361" s="30"/>
      <c r="N361" s="30"/>
      <c r="O361" s="30"/>
    </row>
    <row r="362" spans="1:15" ht="16.5" customHeight="1">
      <c r="A362" s="71"/>
      <c r="B362" s="51"/>
      <c r="C362" s="28" t="s">
        <v>520</v>
      </c>
      <c r="D362" s="28"/>
      <c r="E362" s="33" t="s">
        <v>595</v>
      </c>
      <c r="F362" s="34" t="s">
        <v>67</v>
      </c>
      <c r="G362" s="34">
        <f>G209</f>
        <v>1455.4383347209875</v>
      </c>
      <c r="H362" s="28" t="s">
        <v>119</v>
      </c>
      <c r="I362" s="244" t="s">
        <v>523</v>
      </c>
      <c r="J362" s="244"/>
      <c r="K362" s="244"/>
      <c r="L362" s="244"/>
      <c r="M362" s="30"/>
      <c r="N362" s="30"/>
      <c r="O362" s="30"/>
    </row>
    <row r="363" spans="1:15" ht="18">
      <c r="A363" s="71"/>
      <c r="B363" s="51"/>
      <c r="C363" s="28" t="s">
        <v>524</v>
      </c>
      <c r="D363" s="28"/>
      <c r="E363" s="33" t="s">
        <v>596</v>
      </c>
      <c r="F363" s="34" t="s">
        <v>67</v>
      </c>
      <c r="G363" s="47">
        <f>G367*G362</f>
        <v>184.64733511846529</v>
      </c>
      <c r="H363" s="28" t="s">
        <v>279</v>
      </c>
      <c r="I363" s="244"/>
      <c r="J363" s="244"/>
      <c r="K363" s="244"/>
      <c r="L363" s="244"/>
      <c r="M363" s="30"/>
      <c r="N363" s="30"/>
      <c r="O363" s="30"/>
    </row>
    <row r="364" spans="1:15" ht="18.75">
      <c r="A364" s="71"/>
      <c r="B364" s="28" t="s">
        <v>577</v>
      </c>
      <c r="C364" s="28"/>
      <c r="D364" s="28"/>
      <c r="E364" s="33" t="s">
        <v>124</v>
      </c>
      <c r="F364" s="34" t="s">
        <v>67</v>
      </c>
      <c r="G364" s="37">
        <f>G74</f>
        <v>1365</v>
      </c>
      <c r="H364" s="28" t="s">
        <v>99</v>
      </c>
      <c r="I364" s="144"/>
      <c r="J364" s="144"/>
      <c r="K364" s="144"/>
      <c r="L364" s="144"/>
      <c r="M364" s="30"/>
      <c r="N364" s="30"/>
      <c r="O364" s="30"/>
    </row>
    <row r="365" spans="1:15" ht="18.75">
      <c r="A365" s="71"/>
      <c r="B365" s="28" t="s">
        <v>155</v>
      </c>
      <c r="C365" s="45"/>
      <c r="D365" s="45"/>
      <c r="E365" s="33" t="s">
        <v>156</v>
      </c>
      <c r="F365" s="34" t="s">
        <v>67</v>
      </c>
      <c r="G365" s="34">
        <f>G70</f>
        <v>0.20374</v>
      </c>
      <c r="H365" s="28" t="s">
        <v>127</v>
      </c>
      <c r="I365" s="144"/>
      <c r="J365" s="144"/>
      <c r="K365" s="144"/>
      <c r="L365" s="144"/>
      <c r="M365" s="30"/>
      <c r="N365" s="30"/>
      <c r="O365" s="30"/>
    </row>
    <row r="366" spans="1:15" ht="18.75">
      <c r="A366" s="28"/>
      <c r="B366" s="28" t="s">
        <v>526</v>
      </c>
      <c r="C366" s="45"/>
      <c r="D366" s="45"/>
      <c r="E366" s="33" t="s">
        <v>190</v>
      </c>
      <c r="F366" s="34" t="s">
        <v>67</v>
      </c>
      <c r="G366" s="77">
        <f>G72</f>
        <v>4.2814000000000003E-3</v>
      </c>
      <c r="H366" s="28" t="s">
        <v>130</v>
      </c>
      <c r="I366" s="28"/>
      <c r="J366" s="28"/>
      <c r="K366" s="28"/>
      <c r="L366" s="28"/>
      <c r="M366" s="30"/>
      <c r="N366" s="30"/>
      <c r="O366" s="30"/>
    </row>
    <row r="367" spans="1:15" ht="18">
      <c r="A367" s="28"/>
      <c r="B367" s="28" t="s">
        <v>203</v>
      </c>
      <c r="C367" s="45"/>
      <c r="D367" s="45"/>
      <c r="E367" s="33" t="s">
        <v>204</v>
      </c>
      <c r="F367" s="34" t="s">
        <v>67</v>
      </c>
      <c r="G367" s="85">
        <f>G76</f>
        <v>0.1268671648351648</v>
      </c>
      <c r="H367" s="28" t="s">
        <v>98</v>
      </c>
      <c r="I367" s="28"/>
      <c r="J367" s="28"/>
      <c r="K367" s="28"/>
      <c r="L367" s="28"/>
      <c r="M367" s="30"/>
      <c r="N367" s="30"/>
      <c r="O367" s="30"/>
    </row>
    <row r="368" spans="1:15" ht="18">
      <c r="A368" s="28"/>
      <c r="B368" s="28" t="s">
        <v>527</v>
      </c>
      <c r="C368" s="28"/>
      <c r="D368" s="28"/>
      <c r="E368" s="48" t="s">
        <v>528</v>
      </c>
      <c r="F368" s="34" t="s">
        <v>67</v>
      </c>
      <c r="G368" s="85">
        <f>-G362*0.001/G365-G363*0.001*G367/G366+G361*0.001*G367/G366</f>
        <v>-11.649232057991556</v>
      </c>
      <c r="H368" s="28" t="s">
        <v>69</v>
      </c>
      <c r="I368" s="28"/>
      <c r="J368" s="28"/>
      <c r="K368" s="28"/>
      <c r="L368" s="28"/>
      <c r="M368" s="30"/>
      <c r="N368" s="30"/>
      <c r="O368" s="30"/>
    </row>
    <row r="369" spans="1:15" ht="18">
      <c r="A369" s="28"/>
      <c r="B369" s="51" t="s">
        <v>538</v>
      </c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30"/>
      <c r="N369" s="30"/>
      <c r="O369" s="30"/>
    </row>
    <row r="370" spans="1:15" ht="16.5">
      <c r="A370" s="28"/>
      <c r="B370" s="28" t="s">
        <v>529</v>
      </c>
      <c r="C370" s="28"/>
      <c r="D370" s="28"/>
      <c r="E370" s="33" t="s">
        <v>572</v>
      </c>
      <c r="F370" s="34" t="s">
        <v>67</v>
      </c>
      <c r="G370" s="85">
        <f>G326</f>
        <v>0.68596715375907047</v>
      </c>
      <c r="H370" s="28" t="s">
        <v>199</v>
      </c>
      <c r="I370" s="156" t="s">
        <v>946</v>
      </c>
      <c r="J370" s="28"/>
      <c r="K370" s="28"/>
      <c r="L370" s="28"/>
      <c r="M370" s="30"/>
      <c r="N370" s="30"/>
      <c r="O370" s="30"/>
    </row>
    <row r="371" spans="1:15" ht="8.25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30"/>
      <c r="N371" s="30"/>
      <c r="O371" s="30"/>
    </row>
    <row r="372" spans="1:15" ht="18">
      <c r="A372" s="28"/>
      <c r="B372" s="28" t="s">
        <v>570</v>
      </c>
      <c r="C372" s="28"/>
      <c r="D372" s="28"/>
      <c r="E372" s="96" t="s">
        <v>571</v>
      </c>
      <c r="F372" s="73" t="s">
        <v>67</v>
      </c>
      <c r="G372" s="95">
        <f>G57/G44*G370*G368</f>
        <v>-48.093924656431497</v>
      </c>
      <c r="H372" s="71" t="s">
        <v>69</v>
      </c>
      <c r="I372" s="84" t="s">
        <v>574</v>
      </c>
      <c r="J372" s="28"/>
      <c r="K372" s="28"/>
      <c r="L372" s="28"/>
      <c r="M372" s="30"/>
      <c r="N372" s="30"/>
      <c r="O372" s="30"/>
    </row>
    <row r="373" spans="1:15" ht="8.25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30"/>
      <c r="N373" s="30"/>
      <c r="O373" s="30"/>
    </row>
    <row r="374" spans="1:15" ht="16.5">
      <c r="A374" s="71" t="s">
        <v>575</v>
      </c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30"/>
      <c r="N374" s="30"/>
      <c r="O374" s="30"/>
    </row>
    <row r="375" spans="1:15" ht="18">
      <c r="A375" s="28"/>
      <c r="B375" s="71" t="s">
        <v>576</v>
      </c>
      <c r="C375" s="28"/>
      <c r="D375" s="28"/>
      <c r="E375" s="96" t="s">
        <v>645</v>
      </c>
      <c r="F375" s="73" t="s">
        <v>67</v>
      </c>
      <c r="G375" s="95">
        <f>(G355+0.8*G351+G372)/(1+G57/G44*G364*0.000001/G365*(1+G365/G366*G367*G367)*(1+0.8*G370))</f>
        <v>-71.330065341072554</v>
      </c>
      <c r="H375" s="71" t="s">
        <v>69</v>
      </c>
      <c r="I375" s="28"/>
      <c r="J375" s="28"/>
      <c r="K375" s="28"/>
      <c r="L375" s="28"/>
      <c r="M375" s="30"/>
      <c r="N375" s="30"/>
      <c r="O375" s="30"/>
    </row>
    <row r="376" spans="1:15" ht="8.25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30"/>
      <c r="N376" s="30"/>
      <c r="O376" s="30"/>
    </row>
    <row r="377" spans="1:15" ht="16.5">
      <c r="A377" s="71" t="s">
        <v>578</v>
      </c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30"/>
      <c r="N377" s="30"/>
      <c r="O377" s="30"/>
    </row>
    <row r="378" spans="1:15" ht="18">
      <c r="A378" s="28"/>
      <c r="B378" s="28" t="s">
        <v>579</v>
      </c>
      <c r="C378" s="28"/>
      <c r="D378" s="28"/>
      <c r="E378" s="96" t="s">
        <v>580</v>
      </c>
      <c r="F378" s="73" t="s">
        <v>67</v>
      </c>
      <c r="G378" s="146">
        <v>0</v>
      </c>
      <c r="H378" s="71" t="s">
        <v>69</v>
      </c>
      <c r="I378" s="28"/>
      <c r="J378" s="28"/>
      <c r="K378" s="28"/>
      <c r="L378" s="28"/>
      <c r="M378" s="30"/>
      <c r="N378" s="30"/>
      <c r="O378" s="30"/>
    </row>
    <row r="379" spans="1:15" ht="8.25" customHeight="1" thickBo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30"/>
      <c r="N379" s="30"/>
      <c r="O379" s="30"/>
    </row>
    <row r="380" spans="1:15" ht="19.5">
      <c r="A380" s="28"/>
      <c r="B380" s="54" t="s">
        <v>944</v>
      </c>
      <c r="C380" s="55"/>
      <c r="D380" s="55"/>
      <c r="E380" s="147" t="s">
        <v>945</v>
      </c>
      <c r="F380" s="148" t="s">
        <v>67</v>
      </c>
      <c r="G380" s="157">
        <f>G202+G375+G378</f>
        <v>994.9251249307132</v>
      </c>
      <c r="H380" s="58" t="s">
        <v>69</v>
      </c>
      <c r="I380" s="59"/>
      <c r="J380" s="59"/>
      <c r="K380" s="59"/>
      <c r="L380" s="121"/>
      <c r="M380" s="30"/>
      <c r="N380" s="30"/>
      <c r="O380" s="30"/>
    </row>
    <row r="381" spans="1:15" ht="18">
      <c r="A381" s="28"/>
      <c r="B381" s="122" t="s">
        <v>588</v>
      </c>
      <c r="C381" s="62"/>
      <c r="D381" s="62"/>
      <c r="E381" s="107"/>
      <c r="F381" s="107"/>
      <c r="G381" s="107"/>
      <c r="H381" s="107"/>
      <c r="I381" s="107"/>
      <c r="J381" s="107"/>
      <c r="K381" s="107"/>
      <c r="L381" s="112"/>
      <c r="M381" s="30"/>
      <c r="N381" s="30"/>
      <c r="O381" s="30"/>
    </row>
    <row r="382" spans="1:15" ht="18.75" thickBot="1">
      <c r="A382" s="28"/>
      <c r="B382" s="150"/>
      <c r="C382" s="151"/>
      <c r="D382" s="151"/>
      <c r="E382" s="153" t="s">
        <v>587</v>
      </c>
      <c r="F382" s="69" t="s">
        <v>67</v>
      </c>
      <c r="G382" s="69">
        <f>G380*G364*0.001</f>
        <v>1358.0727955304235</v>
      </c>
      <c r="H382" s="132" t="s">
        <v>119</v>
      </c>
      <c r="I382" s="134" t="s">
        <v>585</v>
      </c>
      <c r="J382" s="68"/>
      <c r="K382" s="68"/>
      <c r="L382" s="155"/>
      <c r="M382" s="30"/>
      <c r="N382" s="30"/>
      <c r="O382" s="30"/>
    </row>
    <row r="383" spans="1:15" ht="6.75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30"/>
      <c r="N383" s="30"/>
      <c r="O383" s="30"/>
    </row>
    <row r="384" spans="1:15" ht="20.25" customHeight="1" thickBot="1">
      <c r="A384" s="115" t="s">
        <v>947</v>
      </c>
      <c r="B384" s="116"/>
      <c r="C384" s="116"/>
      <c r="D384" s="116"/>
      <c r="E384" s="116"/>
      <c r="F384" s="116"/>
      <c r="G384" s="116"/>
      <c r="H384" s="116"/>
      <c r="I384" s="116"/>
      <c r="J384" s="116"/>
      <c r="K384" s="116"/>
      <c r="L384" s="116"/>
      <c r="M384" s="30"/>
      <c r="N384" s="30"/>
      <c r="O384" s="30"/>
    </row>
    <row r="385" spans="1:15" ht="17.25" thickTop="1">
      <c r="A385" s="27" t="s">
        <v>926</v>
      </c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30"/>
      <c r="N385" s="30"/>
      <c r="O385" s="30"/>
    </row>
    <row r="386" spans="1:15" ht="16.5">
      <c r="A386" s="27" t="s">
        <v>377</v>
      </c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30"/>
      <c r="N386" s="30"/>
      <c r="O386" s="30"/>
    </row>
    <row r="387" spans="1:15" ht="18">
      <c r="A387" s="28"/>
      <c r="B387" s="86" t="s">
        <v>418</v>
      </c>
      <c r="C387" s="28"/>
      <c r="D387" s="28"/>
      <c r="E387" s="96" t="s">
        <v>924</v>
      </c>
      <c r="F387" s="73" t="s">
        <v>67</v>
      </c>
      <c r="G387" s="90">
        <f>G214+G334+G331</f>
        <v>1088.1183452725313</v>
      </c>
      <c r="H387" s="71" t="s">
        <v>69</v>
      </c>
      <c r="I387" s="28"/>
      <c r="J387" s="28"/>
      <c r="K387" s="28"/>
      <c r="L387" s="28"/>
      <c r="M387" s="30"/>
      <c r="N387" s="30"/>
      <c r="O387" s="30"/>
    </row>
    <row r="388" spans="1:15" ht="18">
      <c r="A388" s="28"/>
      <c r="B388" s="86" t="s">
        <v>419</v>
      </c>
      <c r="C388" s="28"/>
      <c r="D388" s="28"/>
      <c r="E388" s="96" t="s">
        <v>925</v>
      </c>
      <c r="F388" s="73" t="s">
        <v>67</v>
      </c>
      <c r="G388" s="90">
        <f>G215+G378+G375</f>
        <v>1071.2124341619492</v>
      </c>
      <c r="H388" s="71" t="s">
        <v>69</v>
      </c>
      <c r="I388" s="28"/>
      <c r="J388" s="28"/>
      <c r="K388" s="28"/>
      <c r="L388" s="28"/>
      <c r="M388" s="30"/>
      <c r="N388" s="30"/>
      <c r="O388" s="30"/>
    </row>
    <row r="389" spans="1:15" ht="18">
      <c r="A389" s="28"/>
      <c r="B389" s="28"/>
      <c r="C389" s="28"/>
      <c r="D389" s="28"/>
      <c r="E389" s="33" t="s">
        <v>392</v>
      </c>
      <c r="F389" s="34" t="s">
        <v>67</v>
      </c>
      <c r="G389" s="34">
        <f>G216</f>
        <v>1.05</v>
      </c>
      <c r="H389" s="28" t="s">
        <v>199</v>
      </c>
      <c r="I389" s="28"/>
      <c r="J389" s="28"/>
      <c r="K389" s="28"/>
      <c r="L389" s="46" t="s">
        <v>393</v>
      </c>
      <c r="M389" s="30"/>
      <c r="N389" s="30"/>
      <c r="O389" s="30"/>
    </row>
    <row r="390" spans="1:15" ht="18">
      <c r="A390" s="28"/>
      <c r="B390" s="28"/>
      <c r="C390" s="28"/>
      <c r="D390" s="28"/>
      <c r="E390" s="33" t="s">
        <v>394</v>
      </c>
      <c r="F390" s="34" t="s">
        <v>67</v>
      </c>
      <c r="G390" s="34">
        <f>G217</f>
        <v>0.95</v>
      </c>
      <c r="H390" s="28" t="s">
        <v>199</v>
      </c>
      <c r="I390" s="28"/>
      <c r="J390" s="28"/>
      <c r="K390" s="28"/>
      <c r="L390" s="46" t="s">
        <v>393</v>
      </c>
      <c r="M390" s="30"/>
      <c r="N390" s="30"/>
      <c r="O390" s="30"/>
    </row>
    <row r="391" spans="1:15" ht="18">
      <c r="A391" s="28"/>
      <c r="B391" s="28" t="s">
        <v>380</v>
      </c>
      <c r="C391" s="28"/>
      <c r="D391" s="28"/>
      <c r="E391" s="33" t="s">
        <v>867</v>
      </c>
      <c r="F391" s="34" t="s">
        <v>67</v>
      </c>
      <c r="G391" s="34">
        <f>G389*$G$387*$G$74*0.001</f>
        <v>1559.5456183618558</v>
      </c>
      <c r="H391" s="28" t="s">
        <v>119</v>
      </c>
      <c r="I391" s="49" t="s">
        <v>871</v>
      </c>
      <c r="J391" s="28"/>
      <c r="K391" s="28"/>
      <c r="L391" s="46" t="s">
        <v>378</v>
      </c>
      <c r="M391" s="30"/>
      <c r="N391" s="30"/>
      <c r="O391" s="30"/>
    </row>
    <row r="392" spans="1:15" ht="18">
      <c r="A392" s="28"/>
      <c r="B392" s="28" t="s">
        <v>381</v>
      </c>
      <c r="C392" s="28"/>
      <c r="D392" s="28"/>
      <c r="E392" s="33" t="s">
        <v>868</v>
      </c>
      <c r="F392" s="34" t="s">
        <v>67</v>
      </c>
      <c r="G392" s="34">
        <f>G390*$G$387*$G$74*0.001</f>
        <v>1411.0174642321549</v>
      </c>
      <c r="H392" s="28" t="s">
        <v>119</v>
      </c>
      <c r="I392" s="49" t="s">
        <v>872</v>
      </c>
      <c r="J392" s="28"/>
      <c r="K392" s="28"/>
      <c r="L392" s="46" t="s">
        <v>379</v>
      </c>
      <c r="M392" s="30"/>
      <c r="N392" s="30"/>
      <c r="O392" s="30"/>
    </row>
    <row r="393" spans="1:15" ht="18">
      <c r="A393" s="28"/>
      <c r="B393" s="28" t="s">
        <v>386</v>
      </c>
      <c r="C393" s="28"/>
      <c r="D393" s="28"/>
      <c r="E393" s="33" t="s">
        <v>869</v>
      </c>
      <c r="F393" s="34" t="s">
        <v>67</v>
      </c>
      <c r="G393" s="34">
        <f>G389*$G$388*$G$74*0.001</f>
        <v>1535.3152212626135</v>
      </c>
      <c r="H393" s="28" t="s">
        <v>119</v>
      </c>
      <c r="I393" s="49" t="s">
        <v>873</v>
      </c>
      <c r="J393" s="28"/>
      <c r="K393" s="28"/>
      <c r="L393" s="46" t="s">
        <v>378</v>
      </c>
      <c r="M393" s="30"/>
      <c r="N393" s="30"/>
      <c r="O393" s="30"/>
    </row>
    <row r="394" spans="1:15" ht="18">
      <c r="A394" s="28"/>
      <c r="B394" s="28" t="s">
        <v>387</v>
      </c>
      <c r="C394" s="28"/>
      <c r="D394" s="28"/>
      <c r="E394" s="33" t="s">
        <v>870</v>
      </c>
      <c r="F394" s="34" t="s">
        <v>67</v>
      </c>
      <c r="G394" s="34">
        <f>G390*$G$388*$G$74*0.001</f>
        <v>1389.0947239995076</v>
      </c>
      <c r="H394" s="28" t="s">
        <v>119</v>
      </c>
      <c r="I394" s="49" t="s">
        <v>874</v>
      </c>
      <c r="J394" s="28"/>
      <c r="K394" s="28"/>
      <c r="L394" s="46" t="s">
        <v>379</v>
      </c>
      <c r="M394" s="30"/>
      <c r="N394" s="30"/>
      <c r="O394" s="30"/>
    </row>
    <row r="395" spans="1:15" ht="7.5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30"/>
      <c r="N395" s="30"/>
      <c r="O395" s="30"/>
    </row>
    <row r="396" spans="1:15" ht="18">
      <c r="A396" s="28"/>
      <c r="B396" s="28" t="s">
        <v>881</v>
      </c>
      <c r="C396" s="28"/>
      <c r="D396" s="28"/>
      <c r="E396" s="48" t="s">
        <v>875</v>
      </c>
      <c r="F396" s="34" t="s">
        <v>67</v>
      </c>
      <c r="G396" s="47">
        <f>G105</f>
        <v>3.6842278280485199</v>
      </c>
      <c r="H396" s="28" t="s">
        <v>69</v>
      </c>
      <c r="I396" s="28"/>
      <c r="J396" s="28"/>
      <c r="K396" s="28"/>
      <c r="L396" s="28"/>
      <c r="M396" s="30"/>
      <c r="N396" s="30"/>
      <c r="O396" s="30"/>
    </row>
    <row r="397" spans="1:15" ht="18">
      <c r="A397" s="28"/>
      <c r="B397" s="28" t="s">
        <v>882</v>
      </c>
      <c r="C397" s="28"/>
      <c r="D397" s="28"/>
      <c r="E397" s="48" t="s">
        <v>876</v>
      </c>
      <c r="F397" s="34" t="s">
        <v>67</v>
      </c>
      <c r="G397" s="47">
        <f>G106</f>
        <v>43.385282864887252</v>
      </c>
      <c r="H397" s="28" t="s">
        <v>69</v>
      </c>
      <c r="I397" s="28"/>
      <c r="J397" s="28"/>
      <c r="K397" s="28"/>
      <c r="L397" s="28"/>
      <c r="M397" s="30"/>
      <c r="N397" s="30"/>
      <c r="O397" s="30"/>
    </row>
    <row r="398" spans="1:15" ht="7.5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30"/>
      <c r="N398" s="30"/>
      <c r="O398" s="30"/>
    </row>
    <row r="399" spans="1:15" ht="18">
      <c r="A399" s="31" t="s">
        <v>880</v>
      </c>
      <c r="B399" s="32"/>
      <c r="C399" s="32"/>
      <c r="D399" s="32"/>
      <c r="E399" s="32"/>
      <c r="F399" s="32"/>
      <c r="G399" s="32"/>
      <c r="H399" s="32"/>
      <c r="I399" s="28"/>
      <c r="J399" s="28"/>
      <c r="K399" s="28"/>
      <c r="L399" s="28"/>
      <c r="M399" s="30"/>
      <c r="N399" s="30"/>
      <c r="O399" s="30"/>
    </row>
    <row r="400" spans="1:15" ht="16.5">
      <c r="A400" s="28"/>
      <c r="B400" s="28" t="s">
        <v>366</v>
      </c>
      <c r="C400" s="28"/>
      <c r="D400" s="28"/>
      <c r="E400" s="33" t="s">
        <v>411</v>
      </c>
      <c r="F400" s="34" t="s">
        <v>67</v>
      </c>
      <c r="G400" s="47">
        <f>$G$15/2</f>
        <v>8.9</v>
      </c>
      <c r="H400" s="28" t="s">
        <v>98</v>
      </c>
      <c r="I400" s="28"/>
      <c r="J400" s="28"/>
      <c r="K400" s="28"/>
      <c r="L400" s="28"/>
      <c r="M400" s="30"/>
      <c r="N400" s="30"/>
      <c r="O400" s="30"/>
    </row>
    <row r="401" spans="1:15" ht="18">
      <c r="A401" s="28"/>
      <c r="B401" s="28" t="s">
        <v>368</v>
      </c>
      <c r="C401" s="28"/>
      <c r="D401" s="28"/>
      <c r="E401" s="33" t="s">
        <v>412</v>
      </c>
      <c r="F401" s="34" t="s">
        <v>67</v>
      </c>
      <c r="G401" s="47">
        <f>1/8*G70*25*G15*G15</f>
        <v>201.72806750000001</v>
      </c>
      <c r="H401" s="28" t="s">
        <v>279</v>
      </c>
      <c r="I401" s="28"/>
      <c r="J401" s="28"/>
      <c r="K401" s="28"/>
      <c r="L401" s="28"/>
      <c r="M401" s="30"/>
      <c r="N401" s="30"/>
      <c r="O401" s="30"/>
    </row>
    <row r="402" spans="1:15" ht="18">
      <c r="A402" s="28"/>
      <c r="B402" s="28" t="s">
        <v>371</v>
      </c>
      <c r="C402" s="28"/>
      <c r="D402" s="28"/>
      <c r="E402" s="33" t="s">
        <v>209</v>
      </c>
      <c r="F402" s="34" t="s">
        <v>67</v>
      </c>
      <c r="G402" s="85">
        <f>$G$81</f>
        <v>0.12194985864242761</v>
      </c>
      <c r="H402" s="28" t="s">
        <v>98</v>
      </c>
      <c r="I402" s="28"/>
      <c r="J402" s="28"/>
      <c r="K402" s="28"/>
      <c r="L402" s="28"/>
      <c r="M402" s="30"/>
      <c r="N402" s="30"/>
      <c r="O402" s="30"/>
    </row>
    <row r="403" spans="1:15" ht="18.75">
      <c r="A403" s="28"/>
      <c r="B403" s="28" t="s">
        <v>126</v>
      </c>
      <c r="C403" s="45"/>
      <c r="D403" s="45"/>
      <c r="E403" s="33" t="s">
        <v>128</v>
      </c>
      <c r="F403" s="34" t="s">
        <v>67</v>
      </c>
      <c r="G403" s="34">
        <f>$G$79</f>
        <v>0.21195527777777778</v>
      </c>
      <c r="H403" s="28" t="s">
        <v>127</v>
      </c>
      <c r="I403" s="28"/>
      <c r="J403" s="28"/>
      <c r="K403" s="28"/>
      <c r="L403" s="28"/>
      <c r="M403" s="30"/>
      <c r="N403" s="30"/>
      <c r="O403" s="30"/>
    </row>
    <row r="404" spans="1:15" ht="18.75">
      <c r="A404" s="28"/>
      <c r="B404" s="28" t="s">
        <v>369</v>
      </c>
      <c r="C404" s="28"/>
      <c r="D404" s="28"/>
      <c r="E404" s="33" t="s">
        <v>134</v>
      </c>
      <c r="F404" s="34" t="s">
        <v>67</v>
      </c>
      <c r="G404" s="77">
        <f>$G$85</f>
        <v>2.2055158541615667E-2</v>
      </c>
      <c r="H404" s="28" t="s">
        <v>131</v>
      </c>
      <c r="I404" s="28"/>
      <c r="J404" s="28"/>
      <c r="K404" s="28"/>
      <c r="L404" s="28"/>
      <c r="M404" s="30"/>
      <c r="N404" s="30"/>
      <c r="O404" s="30"/>
    </row>
    <row r="405" spans="1:15" ht="18.75">
      <c r="A405" s="28"/>
      <c r="B405" s="28" t="s">
        <v>370</v>
      </c>
      <c r="C405" s="28"/>
      <c r="D405" s="28"/>
      <c r="E405" s="33" t="s">
        <v>135</v>
      </c>
      <c r="F405" s="34" t="s">
        <v>67</v>
      </c>
      <c r="G405" s="77">
        <f>$G$86</f>
        <v>2.2029877138688217E-2</v>
      </c>
      <c r="H405" s="28" t="s">
        <v>131</v>
      </c>
      <c r="I405" s="28"/>
      <c r="J405" s="28"/>
      <c r="K405" s="28"/>
      <c r="L405" s="28"/>
      <c r="M405" s="30"/>
      <c r="N405" s="30"/>
      <c r="O405" s="30"/>
    </row>
    <row r="406" spans="1:15" ht="18">
      <c r="A406" s="28"/>
      <c r="B406" s="28" t="s">
        <v>372</v>
      </c>
      <c r="C406" s="28"/>
      <c r="D406" s="28"/>
      <c r="E406" s="33" t="s">
        <v>867</v>
      </c>
      <c r="F406" s="34" t="s">
        <v>67</v>
      </c>
      <c r="G406" s="34">
        <f>G391</f>
        <v>1559.5456183618558</v>
      </c>
      <c r="H406" s="28" t="s">
        <v>119</v>
      </c>
      <c r="I406" s="28"/>
      <c r="J406" s="28"/>
      <c r="K406" s="28"/>
      <c r="L406" s="28"/>
      <c r="M406" s="30"/>
      <c r="N406" s="30"/>
      <c r="O406" s="30"/>
    </row>
    <row r="407" spans="1:15" ht="18.75" thickBot="1">
      <c r="A407" s="28"/>
      <c r="B407" s="28" t="s">
        <v>373</v>
      </c>
      <c r="C407" s="28"/>
      <c r="D407" s="28"/>
      <c r="E407" s="33" t="s">
        <v>877</v>
      </c>
      <c r="F407" s="34" t="s">
        <v>67</v>
      </c>
      <c r="G407" s="47">
        <f>G406*G402</f>
        <v>190.18636770564567</v>
      </c>
      <c r="H407" s="28" t="s">
        <v>279</v>
      </c>
      <c r="I407" s="28"/>
      <c r="J407" s="28"/>
      <c r="K407" s="28"/>
      <c r="L407" s="28"/>
      <c r="M407" s="30"/>
      <c r="N407" s="30"/>
      <c r="O407" s="30"/>
    </row>
    <row r="408" spans="1:15" ht="18">
      <c r="A408" s="28"/>
      <c r="B408" s="54" t="s">
        <v>375</v>
      </c>
      <c r="C408" s="59"/>
      <c r="D408" s="59"/>
      <c r="E408" s="158" t="s">
        <v>878</v>
      </c>
      <c r="F408" s="118" t="s">
        <v>67</v>
      </c>
      <c r="G408" s="119">
        <f>-G406*0.001/G403+G407*0.001/G404-G401*0.001/G404</f>
        <v>-7.8812101038910152</v>
      </c>
      <c r="H408" s="120" t="s">
        <v>69</v>
      </c>
      <c r="I408" s="59"/>
      <c r="J408" s="59"/>
      <c r="K408" s="59"/>
      <c r="L408" s="121"/>
      <c r="M408" s="30"/>
      <c r="N408" s="30"/>
      <c r="O408" s="30"/>
    </row>
    <row r="409" spans="1:15" ht="18">
      <c r="A409" s="28"/>
      <c r="B409" s="122" t="s">
        <v>376</v>
      </c>
      <c r="C409" s="62"/>
      <c r="D409" s="62"/>
      <c r="E409" s="159" t="s">
        <v>879</v>
      </c>
      <c r="F409" s="124" t="s">
        <v>67</v>
      </c>
      <c r="G409" s="125">
        <f>-G406*0.001/G403-G407*0.001/G405+G401*0.001/G405</f>
        <v>-6.8339882144739423</v>
      </c>
      <c r="H409" s="126" t="s">
        <v>69</v>
      </c>
      <c r="I409" s="62"/>
      <c r="J409" s="62"/>
      <c r="K409" s="62"/>
      <c r="L409" s="127"/>
      <c r="M409" s="30"/>
      <c r="N409" s="30"/>
      <c r="O409" s="30"/>
    </row>
    <row r="410" spans="1:15" ht="7.5" customHeight="1">
      <c r="A410" s="28"/>
      <c r="B410" s="61"/>
      <c r="C410" s="62"/>
      <c r="D410" s="62"/>
      <c r="E410" s="123"/>
      <c r="F410" s="124"/>
      <c r="G410" s="125"/>
      <c r="H410" s="126"/>
      <c r="I410" s="62"/>
      <c r="J410" s="62"/>
      <c r="K410" s="62"/>
      <c r="L410" s="127"/>
      <c r="M410" s="30"/>
      <c r="N410" s="30"/>
      <c r="O410" s="30"/>
    </row>
    <row r="411" spans="1:15" ht="18.75">
      <c r="A411" s="28"/>
      <c r="B411" s="128" t="s">
        <v>712</v>
      </c>
      <c r="C411" s="62"/>
      <c r="D411" s="62"/>
      <c r="E411" s="62"/>
      <c r="F411" s="62"/>
      <c r="G411" s="129" t="str">
        <f>IF(ABS(G408)&lt;0.45*G397,"lineární chování","nelineární chování-výpočet upravit!!!")</f>
        <v>lineární chování</v>
      </c>
      <c r="H411" s="62"/>
      <c r="I411" s="62" t="s">
        <v>404</v>
      </c>
      <c r="J411" s="160" t="s">
        <v>888</v>
      </c>
      <c r="K411" s="62"/>
      <c r="L411" s="127"/>
      <c r="M411" s="30"/>
      <c r="N411" s="30"/>
      <c r="O411" s="30"/>
    </row>
    <row r="412" spans="1:15" ht="18">
      <c r="A412" s="28"/>
      <c r="B412" s="128" t="s">
        <v>713</v>
      </c>
      <c r="C412" s="62"/>
      <c r="D412" s="62"/>
      <c r="E412" s="62"/>
      <c r="F412" s="62"/>
      <c r="G412" s="129" t="str">
        <f>IF(ABS(G408)&lt;0.6*G397,"nevzniknou trhliny","vzniknou trhliny!!!")</f>
        <v>nevzniknou trhliny</v>
      </c>
      <c r="H412" s="62"/>
      <c r="I412" s="62" t="s">
        <v>404</v>
      </c>
      <c r="J412" s="160" t="s">
        <v>889</v>
      </c>
      <c r="K412" s="62"/>
      <c r="L412" s="246" t="s">
        <v>406</v>
      </c>
      <c r="M412" s="30"/>
      <c r="N412" s="30"/>
      <c r="O412" s="30"/>
    </row>
    <row r="413" spans="1:15" ht="18.75" thickBot="1">
      <c r="A413" s="28"/>
      <c r="B413" s="131" t="s">
        <v>714</v>
      </c>
      <c r="C413" s="68"/>
      <c r="D413" s="68"/>
      <c r="E413" s="68"/>
      <c r="F413" s="68"/>
      <c r="G413" s="133" t="str">
        <f>IF(G409&lt;G396,"nevzniknou trhliny","vzniknou trhliny!!!")</f>
        <v>nevzniknou trhliny</v>
      </c>
      <c r="H413" s="68"/>
      <c r="I413" s="68" t="s">
        <v>404</v>
      </c>
      <c r="J413" s="161" t="s">
        <v>890</v>
      </c>
      <c r="K413" s="68"/>
      <c r="L413" s="247" t="s">
        <v>405</v>
      </c>
      <c r="M413" s="30"/>
      <c r="N413" s="30"/>
      <c r="O413" s="30"/>
    </row>
    <row r="414" spans="1:15" ht="7.5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30"/>
      <c r="N414" s="30"/>
      <c r="O414" s="30"/>
    </row>
    <row r="415" spans="1:15" ht="18">
      <c r="A415" s="31" t="s">
        <v>948</v>
      </c>
      <c r="B415" s="32"/>
      <c r="C415" s="32"/>
      <c r="D415" s="32"/>
      <c r="E415" s="136"/>
      <c r="F415" s="137"/>
      <c r="G415" s="138"/>
      <c r="H415" s="32"/>
      <c r="I415" s="28"/>
      <c r="J415" s="28"/>
      <c r="K415" s="28"/>
      <c r="L415" s="28"/>
      <c r="M415" s="30"/>
      <c r="N415" s="30"/>
      <c r="O415" s="30"/>
    </row>
    <row r="416" spans="1:15" ht="18">
      <c r="A416" s="28"/>
      <c r="B416" s="28" t="s">
        <v>366</v>
      </c>
      <c r="C416" s="28"/>
      <c r="D416" s="28"/>
      <c r="E416" s="33" t="s">
        <v>365</v>
      </c>
      <c r="F416" s="34" t="s">
        <v>67</v>
      </c>
      <c r="G416" s="47">
        <f>$G$125/1000</f>
        <v>0.75069682129720616</v>
      </c>
      <c r="H416" s="28" t="s">
        <v>98</v>
      </c>
      <c r="I416" s="28"/>
      <c r="J416" s="28"/>
      <c r="K416" s="28"/>
      <c r="L416" s="28"/>
      <c r="M416" s="30"/>
      <c r="N416" s="30"/>
      <c r="O416" s="30"/>
    </row>
    <row r="417" spans="1:15" ht="18">
      <c r="A417" s="28"/>
      <c r="B417" s="28" t="s">
        <v>368</v>
      </c>
      <c r="C417" s="28"/>
      <c r="D417" s="28"/>
      <c r="E417" s="33" t="s">
        <v>367</v>
      </c>
      <c r="F417" s="34" t="s">
        <v>67</v>
      </c>
      <c r="G417" s="47">
        <f>1/2*G70*25*G15*G242-1/2*G242*G242*G70*25</f>
        <v>32.595490851510426</v>
      </c>
      <c r="H417" s="28" t="s">
        <v>279</v>
      </c>
      <c r="I417" s="28"/>
      <c r="J417" s="28"/>
      <c r="K417" s="28"/>
      <c r="L417" s="28"/>
      <c r="M417" s="30"/>
      <c r="N417" s="30"/>
      <c r="O417" s="30"/>
    </row>
    <row r="418" spans="1:15" ht="18">
      <c r="A418" s="28"/>
      <c r="B418" s="28" t="s">
        <v>371</v>
      </c>
      <c r="C418" s="28"/>
      <c r="D418" s="28"/>
      <c r="E418" s="33" t="s">
        <v>209</v>
      </c>
      <c r="F418" s="34" t="s">
        <v>67</v>
      </c>
      <c r="G418" s="85">
        <f>$G$81</f>
        <v>0.12194985864242761</v>
      </c>
      <c r="H418" s="28" t="s">
        <v>98</v>
      </c>
      <c r="I418" s="28"/>
      <c r="J418" s="28"/>
      <c r="K418" s="28"/>
      <c r="L418" s="28"/>
      <c r="M418" s="30"/>
      <c r="N418" s="30"/>
      <c r="O418" s="30"/>
    </row>
    <row r="419" spans="1:15" ht="18.75">
      <c r="A419" s="28"/>
      <c r="B419" s="28" t="s">
        <v>126</v>
      </c>
      <c r="C419" s="45"/>
      <c r="D419" s="45"/>
      <c r="E419" s="33" t="s">
        <v>128</v>
      </c>
      <c r="F419" s="34" t="s">
        <v>67</v>
      </c>
      <c r="G419" s="34">
        <f>$G$79</f>
        <v>0.21195527777777778</v>
      </c>
      <c r="H419" s="28" t="s">
        <v>127</v>
      </c>
      <c r="I419" s="34"/>
      <c r="J419" s="34"/>
      <c r="K419" s="28"/>
      <c r="L419" s="28"/>
      <c r="M419" s="30"/>
      <c r="N419" s="30"/>
      <c r="O419" s="30"/>
    </row>
    <row r="420" spans="1:15" ht="18.75">
      <c r="A420" s="28"/>
      <c r="B420" s="28" t="s">
        <v>369</v>
      </c>
      <c r="C420" s="28"/>
      <c r="D420" s="28"/>
      <c r="E420" s="33" t="s">
        <v>134</v>
      </c>
      <c r="F420" s="34" t="s">
        <v>67</v>
      </c>
      <c r="G420" s="77">
        <f>$G$85</f>
        <v>2.2055158541615667E-2</v>
      </c>
      <c r="H420" s="28" t="s">
        <v>131</v>
      </c>
      <c r="I420" s="28"/>
      <c r="J420" s="28"/>
      <c r="K420" s="28"/>
      <c r="L420" s="28"/>
      <c r="M420" s="30"/>
      <c r="N420" s="30"/>
      <c r="O420" s="30"/>
    </row>
    <row r="421" spans="1:15" ht="18.75">
      <c r="A421" s="28"/>
      <c r="B421" s="28" t="s">
        <v>370</v>
      </c>
      <c r="C421" s="28"/>
      <c r="D421" s="28"/>
      <c r="E421" s="33" t="s">
        <v>135</v>
      </c>
      <c r="F421" s="34" t="s">
        <v>67</v>
      </c>
      <c r="G421" s="77">
        <f>$G$86</f>
        <v>2.2029877138688217E-2</v>
      </c>
      <c r="H421" s="28" t="s">
        <v>131</v>
      </c>
      <c r="I421" s="28"/>
      <c r="J421" s="28"/>
      <c r="K421" s="28"/>
      <c r="L421" s="28"/>
      <c r="M421" s="30"/>
      <c r="N421" s="30"/>
      <c r="O421" s="30"/>
    </row>
    <row r="422" spans="1:15" ht="18">
      <c r="A422" s="28"/>
      <c r="B422" s="28" t="s">
        <v>372</v>
      </c>
      <c r="C422" s="28"/>
      <c r="D422" s="28"/>
      <c r="E422" s="33" t="s">
        <v>869</v>
      </c>
      <c r="F422" s="34" t="s">
        <v>67</v>
      </c>
      <c r="G422" s="34">
        <f>G393</f>
        <v>1535.3152212626135</v>
      </c>
      <c r="H422" s="28" t="s">
        <v>119</v>
      </c>
      <c r="I422" s="28"/>
      <c r="J422" s="28"/>
      <c r="K422" s="28"/>
      <c r="L422" s="28"/>
      <c r="M422" s="30"/>
      <c r="N422" s="30"/>
      <c r="O422" s="30"/>
    </row>
    <row r="423" spans="1:15" ht="18.75" thickBot="1">
      <c r="A423" s="28"/>
      <c r="B423" s="28" t="s">
        <v>373</v>
      </c>
      <c r="C423" s="28"/>
      <c r="D423" s="28"/>
      <c r="E423" s="33" t="s">
        <v>883</v>
      </c>
      <c r="F423" s="34" t="s">
        <v>67</v>
      </c>
      <c r="G423" s="47">
        <f>G422*G418</f>
        <v>187.23147420454316</v>
      </c>
      <c r="H423" s="28" t="s">
        <v>279</v>
      </c>
      <c r="I423" s="28"/>
      <c r="J423" s="28"/>
      <c r="K423" s="28"/>
      <c r="L423" s="28"/>
      <c r="M423" s="30"/>
      <c r="N423" s="30"/>
      <c r="O423" s="30"/>
    </row>
    <row r="424" spans="1:15" ht="18">
      <c r="A424" s="28"/>
      <c r="B424" s="54" t="s">
        <v>375</v>
      </c>
      <c r="C424" s="59"/>
      <c r="D424" s="59"/>
      <c r="E424" s="158" t="s">
        <v>878</v>
      </c>
      <c r="F424" s="118" t="s">
        <v>67</v>
      </c>
      <c r="G424" s="119">
        <f>-G422*0.001/G419+G423*0.001/G420-G417*0.001/G420</f>
        <v>-0.23225150817335716</v>
      </c>
      <c r="H424" s="120" t="s">
        <v>69</v>
      </c>
      <c r="I424" s="59"/>
      <c r="J424" s="59"/>
      <c r="K424" s="59"/>
      <c r="L424" s="121"/>
      <c r="M424" s="30"/>
      <c r="N424" s="30"/>
      <c r="O424" s="30"/>
    </row>
    <row r="425" spans="1:15" ht="18">
      <c r="A425" s="28"/>
      <c r="B425" s="122" t="s">
        <v>376</v>
      </c>
      <c r="C425" s="62"/>
      <c r="D425" s="62"/>
      <c r="E425" s="159" t="s">
        <v>879</v>
      </c>
      <c r="F425" s="124" t="s">
        <v>67</v>
      </c>
      <c r="G425" s="125">
        <f>-G422*0.001/G419-G423*0.001/G421+G417*0.001/G421</f>
        <v>-14.262956650759245</v>
      </c>
      <c r="H425" s="126" t="s">
        <v>69</v>
      </c>
      <c r="I425" s="62"/>
      <c r="J425" s="62"/>
      <c r="K425" s="62"/>
      <c r="L425" s="127"/>
      <c r="M425" s="30"/>
      <c r="N425" s="30"/>
      <c r="O425" s="30"/>
    </row>
    <row r="426" spans="1:15" ht="7.5" customHeight="1">
      <c r="A426" s="28"/>
      <c r="B426" s="61"/>
      <c r="C426" s="62"/>
      <c r="D426" s="62"/>
      <c r="E426" s="62"/>
      <c r="F426" s="62"/>
      <c r="G426" s="62"/>
      <c r="H426" s="62"/>
      <c r="I426" s="62"/>
      <c r="J426" s="62"/>
      <c r="K426" s="62"/>
      <c r="L426" s="127"/>
      <c r="M426" s="30"/>
      <c r="N426" s="30"/>
      <c r="O426" s="30"/>
    </row>
    <row r="427" spans="1:15" ht="18">
      <c r="A427" s="28"/>
      <c r="B427" s="128" t="s">
        <v>403</v>
      </c>
      <c r="C427" s="62"/>
      <c r="D427" s="62"/>
      <c r="E427" s="62"/>
      <c r="F427" s="62"/>
      <c r="G427" s="129" t="str">
        <f>IF(G424&lt;G396,"nevzniknou trhliny","vzniknou trhliny!!!")</f>
        <v>nevzniknou trhliny</v>
      </c>
      <c r="H427" s="62"/>
      <c r="I427" s="62" t="s">
        <v>404</v>
      </c>
      <c r="J427" s="160" t="s">
        <v>884</v>
      </c>
      <c r="K427" s="62"/>
      <c r="L427" s="246" t="s">
        <v>405</v>
      </c>
      <c r="M427" s="30"/>
      <c r="N427" s="30"/>
      <c r="O427" s="30"/>
    </row>
    <row r="428" spans="1:15" ht="18.75" thickBot="1">
      <c r="A428" s="28"/>
      <c r="B428" s="131" t="s">
        <v>409</v>
      </c>
      <c r="C428" s="68"/>
      <c r="D428" s="68"/>
      <c r="E428" s="68"/>
      <c r="F428" s="68"/>
      <c r="G428" s="133" t="str">
        <f>IF(ABS(G425)&lt;0.6*G397,"nevzniknou trhliny","vzniknou trhliny!!!")</f>
        <v>nevzniknou trhliny</v>
      </c>
      <c r="H428" s="68"/>
      <c r="I428" s="68" t="s">
        <v>404</v>
      </c>
      <c r="J428" s="161" t="s">
        <v>885</v>
      </c>
      <c r="K428" s="68"/>
      <c r="L428" s="247" t="s">
        <v>406</v>
      </c>
      <c r="M428" s="30"/>
      <c r="N428" s="30"/>
      <c r="O428" s="30"/>
    </row>
    <row r="429" spans="1:15" ht="7.5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30"/>
      <c r="N429" s="30"/>
      <c r="O429" s="30"/>
    </row>
    <row r="430" spans="1:15" ht="19.5" customHeight="1" thickBot="1">
      <c r="A430" s="115" t="s">
        <v>950</v>
      </c>
      <c r="B430" s="162"/>
      <c r="C430" s="162"/>
      <c r="D430" s="162"/>
      <c r="E430" s="162"/>
      <c r="F430" s="162"/>
      <c r="G430" s="162"/>
      <c r="H430" s="162"/>
      <c r="I430" s="162"/>
      <c r="J430" s="162"/>
      <c r="K430" s="162"/>
      <c r="L430" s="162"/>
      <c r="M430" s="30"/>
      <c r="N430" s="30"/>
      <c r="O430" s="30"/>
    </row>
    <row r="431" spans="1:15" ht="7.5" customHeight="1" thickTop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30"/>
      <c r="N431" s="30"/>
      <c r="O431" s="30"/>
    </row>
    <row r="432" spans="1:15" ht="18">
      <c r="A432" s="28"/>
      <c r="B432" s="71" t="s">
        <v>141</v>
      </c>
      <c r="C432" s="71"/>
      <c r="D432" s="71"/>
      <c r="E432" s="72" t="s">
        <v>930</v>
      </c>
      <c r="F432" s="73" t="s">
        <v>67</v>
      </c>
      <c r="G432" s="90">
        <f>G90</f>
        <v>21</v>
      </c>
      <c r="H432" s="71" t="s">
        <v>139</v>
      </c>
      <c r="I432" s="34">
        <f>G432*24*60</f>
        <v>30240</v>
      </c>
      <c r="J432" s="28" t="s">
        <v>140</v>
      </c>
      <c r="K432" s="28"/>
      <c r="L432" s="28"/>
      <c r="M432" s="30"/>
      <c r="N432" s="30"/>
      <c r="O432" s="30"/>
    </row>
    <row r="433" spans="1:15" ht="18" customHeight="1">
      <c r="A433" s="28"/>
      <c r="B433" s="71" t="s">
        <v>142</v>
      </c>
      <c r="C433" s="71"/>
      <c r="D433" s="71"/>
      <c r="E433" s="72" t="s">
        <v>949</v>
      </c>
      <c r="F433" s="73" t="s">
        <v>67</v>
      </c>
      <c r="G433" s="90">
        <f>G91</f>
        <v>36500</v>
      </c>
      <c r="H433" s="71" t="s">
        <v>145</v>
      </c>
      <c r="I433" s="34">
        <f>G433*24*60</f>
        <v>52560000</v>
      </c>
      <c r="J433" s="28" t="s">
        <v>140</v>
      </c>
      <c r="K433" s="28"/>
      <c r="L433" s="72" t="s">
        <v>417</v>
      </c>
      <c r="M433" s="30"/>
      <c r="N433" s="30"/>
      <c r="O433" s="30"/>
    </row>
    <row r="434" spans="1:15" ht="7.5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30"/>
      <c r="N434" s="30"/>
      <c r="O434" s="30"/>
    </row>
    <row r="435" spans="1:15" ht="16.5">
      <c r="A435" s="31" t="s">
        <v>589</v>
      </c>
      <c r="B435" s="31"/>
      <c r="C435" s="32"/>
      <c r="D435" s="32"/>
      <c r="E435" s="32"/>
      <c r="F435" s="32"/>
      <c r="G435" s="32"/>
      <c r="H435" s="32"/>
      <c r="I435" s="28"/>
      <c r="J435" s="28"/>
      <c r="K435" s="28"/>
      <c r="L435" s="28"/>
      <c r="M435" s="30"/>
      <c r="N435" s="30"/>
      <c r="O435" s="30"/>
    </row>
    <row r="436" spans="1:15" ht="18">
      <c r="A436" s="28"/>
      <c r="B436" s="28"/>
      <c r="C436" s="28" t="s">
        <v>590</v>
      </c>
      <c r="D436" s="28"/>
      <c r="E436" s="33" t="s">
        <v>592</v>
      </c>
      <c r="F436" s="34" t="s">
        <v>67</v>
      </c>
      <c r="G436" s="35">
        <v>2</v>
      </c>
      <c r="H436" s="163" t="s">
        <v>887</v>
      </c>
      <c r="I436" s="28"/>
      <c r="J436" s="28"/>
      <c r="K436" s="28"/>
      <c r="L436" s="28"/>
      <c r="M436" s="30"/>
      <c r="N436" s="30"/>
      <c r="O436" s="30"/>
    </row>
    <row r="437" spans="1:15" ht="18">
      <c r="A437" s="28"/>
      <c r="B437" s="28"/>
      <c r="C437" s="28" t="s">
        <v>591</v>
      </c>
      <c r="D437" s="28"/>
      <c r="E437" s="33" t="s">
        <v>593</v>
      </c>
      <c r="F437" s="34" t="s">
        <v>67</v>
      </c>
      <c r="G437" s="35">
        <v>2</v>
      </c>
      <c r="H437" s="163" t="s">
        <v>887</v>
      </c>
      <c r="I437" s="28"/>
      <c r="J437" s="28"/>
      <c r="K437" s="28"/>
      <c r="L437" s="28"/>
      <c r="M437" s="30"/>
      <c r="N437" s="30"/>
      <c r="O437" s="30"/>
    </row>
    <row r="438" spans="1:15" ht="18">
      <c r="A438" s="28"/>
      <c r="B438" s="28"/>
      <c r="C438" s="28" t="s">
        <v>602</v>
      </c>
      <c r="D438" s="28"/>
      <c r="E438" s="48" t="s">
        <v>728</v>
      </c>
      <c r="F438" s="34" t="s">
        <v>67</v>
      </c>
      <c r="G438" s="35">
        <v>0.7</v>
      </c>
      <c r="H438" s="164" t="s">
        <v>199</v>
      </c>
      <c r="I438" s="28"/>
      <c r="J438" s="28"/>
      <c r="K438" s="28"/>
      <c r="L438" s="28"/>
      <c r="M438" s="30"/>
      <c r="N438" s="30"/>
      <c r="O438" s="30"/>
    </row>
    <row r="439" spans="1:15" ht="18">
      <c r="A439" s="28"/>
      <c r="B439" s="28"/>
      <c r="C439" s="28" t="s">
        <v>892</v>
      </c>
      <c r="D439" s="28"/>
      <c r="E439" s="48" t="s">
        <v>603</v>
      </c>
      <c r="F439" s="34" t="s">
        <v>67</v>
      </c>
      <c r="G439" s="35">
        <v>0.3</v>
      </c>
      <c r="H439" s="164" t="s">
        <v>199</v>
      </c>
      <c r="I439" s="28"/>
      <c r="J439" s="28"/>
      <c r="K439" s="28"/>
      <c r="L439" s="28"/>
      <c r="M439" s="30"/>
      <c r="N439" s="30"/>
      <c r="O439" s="30"/>
    </row>
    <row r="440" spans="1:15" ht="7.5" customHeight="1">
      <c r="A440" s="88"/>
      <c r="B440" s="88"/>
      <c r="C440" s="88"/>
      <c r="D440" s="88"/>
      <c r="E440" s="165"/>
      <c r="F440" s="166"/>
      <c r="G440" s="167"/>
      <c r="H440" s="168"/>
      <c r="I440" s="28"/>
      <c r="J440" s="28"/>
      <c r="K440" s="28"/>
      <c r="L440" s="28"/>
      <c r="M440" s="30"/>
      <c r="N440" s="30"/>
      <c r="O440" s="30"/>
    </row>
    <row r="441" spans="1:15" ht="18">
      <c r="A441" s="28"/>
      <c r="B441" s="28" t="s">
        <v>704</v>
      </c>
      <c r="C441" s="28"/>
      <c r="D441" s="28"/>
      <c r="E441" s="33" t="s">
        <v>703</v>
      </c>
      <c r="F441" s="34" t="s">
        <v>67</v>
      </c>
      <c r="G441" s="37">
        <f>1/8*POWER($G$15,2)*($G$70*25+$G$436+$G$437)</f>
        <v>360.14806749999997</v>
      </c>
      <c r="H441" s="28" t="s">
        <v>279</v>
      </c>
      <c r="I441" s="49" t="s">
        <v>707</v>
      </c>
      <c r="J441" s="28"/>
      <c r="K441" s="28"/>
      <c r="L441" s="28"/>
      <c r="M441" s="30"/>
      <c r="N441" s="30"/>
      <c r="O441" s="30"/>
    </row>
    <row r="442" spans="1:15" ht="18">
      <c r="A442" s="28"/>
      <c r="B442" s="28" t="s">
        <v>705</v>
      </c>
      <c r="C442" s="45"/>
      <c r="D442" s="45"/>
      <c r="E442" s="33" t="s">
        <v>706</v>
      </c>
      <c r="F442" s="34" t="s">
        <v>67</v>
      </c>
      <c r="G442" s="47">
        <f>1/2*$G$15*($G$70*25+$G$436+$G$437)*G125*0.001-1/2*($G$70*25+$G$436+$G$437)*POWER(G125*0.001,2)</f>
        <v>58.193206254679502</v>
      </c>
      <c r="H442" s="28" t="s">
        <v>279</v>
      </c>
      <c r="I442" s="45"/>
      <c r="J442" s="45"/>
      <c r="K442" s="45"/>
      <c r="L442" s="28"/>
      <c r="M442" s="30"/>
      <c r="N442" s="30"/>
      <c r="O442" s="30"/>
    </row>
    <row r="443" spans="1:15" ht="18">
      <c r="A443" s="28"/>
      <c r="B443" s="28" t="s">
        <v>598</v>
      </c>
      <c r="C443" s="28"/>
      <c r="D443" s="28"/>
      <c r="E443" s="33" t="s">
        <v>599</v>
      </c>
      <c r="F443" s="34" t="s">
        <v>67</v>
      </c>
      <c r="G443" s="47">
        <f>1/8*POWER($G$15,2)*($G$70*25+$G$436+$G$439*$G$437)</f>
        <v>304.70106750000002</v>
      </c>
      <c r="H443" s="28" t="s">
        <v>279</v>
      </c>
      <c r="I443" s="49" t="s">
        <v>601</v>
      </c>
      <c r="J443" s="28"/>
      <c r="K443" s="28"/>
      <c r="L443" s="28"/>
      <c r="M443" s="30"/>
      <c r="N443" s="30"/>
      <c r="O443" s="30"/>
    </row>
    <row r="444" spans="1:15" ht="18">
      <c r="A444" s="28"/>
      <c r="B444" s="28" t="s">
        <v>597</v>
      </c>
      <c r="C444" s="28"/>
      <c r="D444" s="28"/>
      <c r="E444" s="33" t="s">
        <v>600</v>
      </c>
      <c r="F444" s="34" t="s">
        <v>67</v>
      </c>
      <c r="G444" s="47">
        <f>1/8*POWER($G$15,2)*($G$436+$G$439*$G$437)</f>
        <v>102.97300000000001</v>
      </c>
      <c r="H444" s="28" t="s">
        <v>279</v>
      </c>
      <c r="I444" s="28"/>
      <c r="J444" s="28"/>
      <c r="K444" s="28"/>
      <c r="L444" s="28"/>
      <c r="M444" s="30"/>
      <c r="N444" s="30"/>
      <c r="O444" s="30"/>
    </row>
    <row r="445" spans="1:15" ht="18">
      <c r="A445" s="28"/>
      <c r="B445" s="28" t="s">
        <v>625</v>
      </c>
      <c r="C445" s="28"/>
      <c r="D445" s="28"/>
      <c r="E445" s="48" t="s">
        <v>627</v>
      </c>
      <c r="F445" s="34" t="s">
        <v>67</v>
      </c>
      <c r="G445" s="47">
        <f>G444*0.001/$G$84*$G$81*$G$57/$G$44</f>
        <v>17.143646940836629</v>
      </c>
      <c r="H445" s="28" t="s">
        <v>69</v>
      </c>
      <c r="I445" s="49"/>
      <c r="J445" s="28"/>
      <c r="K445" s="28"/>
      <c r="L445" s="28"/>
      <c r="M445" s="30"/>
      <c r="N445" s="30"/>
      <c r="O445" s="30"/>
    </row>
    <row r="446" spans="1:15" ht="18">
      <c r="A446" s="28"/>
      <c r="B446" s="28" t="s">
        <v>626</v>
      </c>
      <c r="C446" s="28"/>
      <c r="D446" s="28"/>
      <c r="E446" s="48" t="s">
        <v>628</v>
      </c>
      <c r="F446" s="34" t="s">
        <v>67</v>
      </c>
      <c r="G446" s="47">
        <f>G445*$G$74*0.001</f>
        <v>23.401078074242001</v>
      </c>
      <c r="H446" s="28" t="s">
        <v>119</v>
      </c>
      <c r="I446" s="49"/>
      <c r="J446" s="28"/>
      <c r="K446" s="28"/>
      <c r="L446" s="28"/>
      <c r="M446" s="30"/>
      <c r="N446" s="30"/>
      <c r="O446" s="30"/>
    </row>
    <row r="447" spans="1:15" ht="7.5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30"/>
      <c r="N447" s="30"/>
      <c r="O447" s="30"/>
    </row>
    <row r="448" spans="1:15" ht="16.5">
      <c r="A448" s="31" t="s">
        <v>434</v>
      </c>
      <c r="B448" s="32"/>
      <c r="C448" s="32"/>
      <c r="D448" s="32"/>
      <c r="E448" s="32"/>
      <c r="F448" s="32"/>
      <c r="G448" s="32"/>
      <c r="H448" s="32"/>
      <c r="I448" s="28"/>
      <c r="J448" s="28"/>
      <c r="K448" s="28"/>
      <c r="L448" s="28"/>
      <c r="M448" s="30"/>
      <c r="N448" s="30"/>
      <c r="O448" s="30"/>
    </row>
    <row r="449" spans="1:15" ht="18">
      <c r="A449" s="71" t="s">
        <v>796</v>
      </c>
      <c r="B449" s="28"/>
      <c r="C449" s="28"/>
      <c r="D449" s="28"/>
      <c r="E449" s="96"/>
      <c r="F449" s="73"/>
      <c r="G449" s="90"/>
      <c r="H449" s="71"/>
      <c r="I449" s="28"/>
      <c r="J449" s="28"/>
      <c r="K449" s="28"/>
      <c r="L449" s="28"/>
      <c r="M449" s="30"/>
      <c r="N449" s="30"/>
      <c r="O449" s="30"/>
    </row>
    <row r="450" spans="1:15" ht="18">
      <c r="A450" s="28"/>
      <c r="B450" s="28" t="s">
        <v>229</v>
      </c>
      <c r="C450" s="28"/>
      <c r="D450" s="28"/>
      <c r="E450" s="48" t="s">
        <v>604</v>
      </c>
      <c r="F450" s="34" t="s">
        <v>67</v>
      </c>
      <c r="G450" s="37">
        <f>G336</f>
        <v>1042.4848625017501</v>
      </c>
      <c r="H450" s="28" t="s">
        <v>69</v>
      </c>
      <c r="I450" s="84"/>
      <c r="J450" s="28"/>
      <c r="K450" s="28"/>
      <c r="L450" s="28"/>
      <c r="M450" s="30"/>
      <c r="N450" s="30"/>
      <c r="O450" s="30"/>
    </row>
    <row r="451" spans="1:15" ht="18">
      <c r="A451" s="28"/>
      <c r="B451" s="28" t="s">
        <v>891</v>
      </c>
      <c r="C451" s="28"/>
      <c r="D451" s="28"/>
      <c r="E451" s="48" t="s">
        <v>629</v>
      </c>
      <c r="F451" s="34" t="s">
        <v>67</v>
      </c>
      <c r="G451" s="47">
        <f>ABS(G165+G272)+G445</f>
        <v>21.160362993862446</v>
      </c>
      <c r="H451" s="28" t="s">
        <v>69</v>
      </c>
      <c r="I451" s="84"/>
      <c r="J451" s="28"/>
      <c r="K451" s="28"/>
      <c r="L451" s="28"/>
      <c r="M451" s="30"/>
      <c r="N451" s="30"/>
      <c r="O451" s="30"/>
    </row>
    <row r="452" spans="1:15" ht="18">
      <c r="A452" s="28"/>
      <c r="B452" s="28" t="s">
        <v>436</v>
      </c>
      <c r="C452" s="28"/>
      <c r="D452" s="28"/>
      <c r="E452" s="48"/>
      <c r="F452" s="34" t="s">
        <v>67</v>
      </c>
      <c r="G452" s="37">
        <f>G450+G451</f>
        <v>1063.6452254956125</v>
      </c>
      <c r="H452" s="28" t="s">
        <v>69</v>
      </c>
      <c r="I452" s="84" t="s">
        <v>630</v>
      </c>
      <c r="J452" s="28"/>
      <c r="K452" s="28"/>
      <c r="L452" s="28"/>
      <c r="M452" s="30"/>
      <c r="N452" s="30"/>
      <c r="O452" s="30"/>
    </row>
    <row r="453" spans="1:15" ht="18.75">
      <c r="A453" s="28"/>
      <c r="B453" s="28" t="s">
        <v>651</v>
      </c>
      <c r="C453" s="28"/>
      <c r="D453" s="28"/>
      <c r="E453" s="33" t="s">
        <v>616</v>
      </c>
      <c r="F453" s="34" t="s">
        <v>67</v>
      </c>
      <c r="G453" s="169">
        <f>G433*24-G432*24</f>
        <v>875496</v>
      </c>
      <c r="H453" s="28" t="s">
        <v>243</v>
      </c>
      <c r="I453" s="33" t="s">
        <v>617</v>
      </c>
      <c r="J453" s="28"/>
      <c r="K453" s="28"/>
      <c r="L453" s="28"/>
      <c r="M453" s="30"/>
      <c r="N453" s="30"/>
      <c r="O453" s="30"/>
    </row>
    <row r="454" spans="1:15" ht="18">
      <c r="A454" s="28"/>
      <c r="B454" s="28" t="s">
        <v>440</v>
      </c>
      <c r="C454" s="28"/>
      <c r="D454" s="28"/>
      <c r="E454" s="33" t="s">
        <v>441</v>
      </c>
      <c r="F454" s="34" t="s">
        <v>67</v>
      </c>
      <c r="G454" s="169">
        <f>1000*POWER(G451/(0.66*G456*EXP(9.1*G457)*0.00001*G452),(1/(0.75*(1-G457))))</f>
        <v>360982.90786681481</v>
      </c>
      <c r="H454" s="28" t="s">
        <v>243</v>
      </c>
      <c r="I454" s="28"/>
      <c r="J454" s="28"/>
      <c r="K454" s="28"/>
      <c r="L454" s="28"/>
      <c r="M454" s="30"/>
      <c r="N454" s="30"/>
      <c r="O454" s="30"/>
    </row>
    <row r="455" spans="1:15" ht="16.5">
      <c r="A455" s="28"/>
      <c r="B455" s="28" t="s">
        <v>241</v>
      </c>
      <c r="C455" s="28"/>
      <c r="D455" s="28"/>
      <c r="E455" s="48"/>
      <c r="F455" s="34"/>
      <c r="G455" s="141">
        <f>G162</f>
        <v>2</v>
      </c>
      <c r="H455" s="28"/>
      <c r="I455" s="28"/>
      <c r="J455" s="28"/>
      <c r="K455" s="28"/>
      <c r="L455" s="28"/>
      <c r="M455" s="30"/>
      <c r="N455" s="30"/>
      <c r="O455" s="30"/>
    </row>
    <row r="456" spans="1:15" ht="18">
      <c r="A456" s="28"/>
      <c r="B456" s="86" t="s">
        <v>234</v>
      </c>
      <c r="C456" s="28"/>
      <c r="D456" s="28"/>
      <c r="E456" s="48" t="s">
        <v>235</v>
      </c>
      <c r="F456" s="34" t="s">
        <v>67</v>
      </c>
      <c r="G456" s="37">
        <f>G163</f>
        <v>2.5</v>
      </c>
      <c r="H456" s="28" t="s">
        <v>236</v>
      </c>
      <c r="I456" s="28"/>
      <c r="J456" s="28"/>
      <c r="K456" s="28"/>
      <c r="L456" s="28"/>
      <c r="M456" s="30"/>
      <c r="N456" s="30"/>
      <c r="O456" s="30"/>
    </row>
    <row r="457" spans="1:15" ht="18">
      <c r="A457" s="28"/>
      <c r="B457" s="28"/>
      <c r="C457" s="28"/>
      <c r="D457" s="28"/>
      <c r="E457" s="100" t="s">
        <v>98</v>
      </c>
      <c r="F457" s="34" t="s">
        <v>67</v>
      </c>
      <c r="G457" s="47">
        <f>G452/G53</f>
        <v>0.57185227177183473</v>
      </c>
      <c r="H457" s="28"/>
      <c r="I457" s="101" t="s">
        <v>793</v>
      </c>
      <c r="J457" s="28"/>
      <c r="K457" s="28"/>
      <c r="L457" s="46" t="s">
        <v>794</v>
      </c>
      <c r="M457" s="30"/>
      <c r="N457" s="30"/>
      <c r="O457" s="30"/>
    </row>
    <row r="458" spans="1:15" ht="18">
      <c r="A458" s="28"/>
      <c r="B458" s="71" t="s">
        <v>650</v>
      </c>
      <c r="C458" s="28"/>
      <c r="D458" s="28"/>
      <c r="E458" s="96" t="s">
        <v>615</v>
      </c>
      <c r="F458" s="73" t="s">
        <v>67</v>
      </c>
      <c r="G458" s="95">
        <f>-G452*0.66*G456*EXP(9.1*G457)*POWER((G454+G453)/1000,0.75*(1-G457))*0.00001+G451</f>
        <v>-10.260714932199082</v>
      </c>
      <c r="H458" s="71" t="s">
        <v>69</v>
      </c>
      <c r="I458" s="28"/>
      <c r="J458" s="28"/>
      <c r="K458" s="28"/>
      <c r="L458" s="28"/>
      <c r="M458" s="30"/>
      <c r="N458" s="30"/>
      <c r="O458" s="30"/>
    </row>
    <row r="459" spans="1:15" ht="16.5">
      <c r="A459" s="28"/>
      <c r="B459" s="28"/>
      <c r="C459" s="28"/>
      <c r="D459" s="28"/>
      <c r="E459" s="48"/>
      <c r="F459" s="34"/>
      <c r="G459" s="37"/>
      <c r="H459" s="28"/>
      <c r="I459" s="28"/>
      <c r="J459" s="28"/>
      <c r="K459" s="28"/>
      <c r="L459" s="46" t="s">
        <v>795</v>
      </c>
      <c r="M459" s="30"/>
      <c r="N459" s="30"/>
      <c r="O459" s="30"/>
    </row>
    <row r="460" spans="1:15" ht="16.5">
      <c r="A460" s="71" t="s">
        <v>621</v>
      </c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30"/>
      <c r="N460" s="30"/>
      <c r="O460" s="30"/>
    </row>
    <row r="461" spans="1:15" ht="18">
      <c r="A461" s="28"/>
      <c r="B461" s="28" t="s">
        <v>446</v>
      </c>
      <c r="C461" s="28"/>
      <c r="D461" s="28"/>
      <c r="E461" s="33" t="s">
        <v>448</v>
      </c>
      <c r="F461" s="34" t="s">
        <v>67</v>
      </c>
      <c r="G461" s="37">
        <f>G89</f>
        <v>4.8</v>
      </c>
      <c r="H461" s="28" t="s">
        <v>449</v>
      </c>
      <c r="I461" s="27" t="s">
        <v>952</v>
      </c>
      <c r="J461" s="28"/>
      <c r="K461" s="28"/>
      <c r="L461" s="28"/>
      <c r="M461" s="30"/>
      <c r="N461" s="30"/>
      <c r="O461" s="30"/>
    </row>
    <row r="462" spans="1:15" ht="18.75">
      <c r="A462" s="28"/>
      <c r="B462" s="28" t="s">
        <v>447</v>
      </c>
      <c r="C462" s="28"/>
      <c r="D462" s="28"/>
      <c r="E462" s="33" t="s">
        <v>620</v>
      </c>
      <c r="F462" s="34" t="s">
        <v>67</v>
      </c>
      <c r="G462" s="37">
        <f>G433</f>
        <v>36500</v>
      </c>
      <c r="H462" s="28" t="s">
        <v>449</v>
      </c>
      <c r="I462" s="27"/>
      <c r="J462" s="28"/>
      <c r="K462" s="28"/>
      <c r="L462" s="28"/>
      <c r="M462" s="30"/>
      <c r="N462" s="30"/>
      <c r="O462" s="30"/>
    </row>
    <row r="463" spans="1:15" ht="18">
      <c r="A463" s="28"/>
      <c r="B463" s="28" t="s">
        <v>451</v>
      </c>
      <c r="C463" s="28"/>
      <c r="D463" s="28"/>
      <c r="E463" s="48" t="s">
        <v>619</v>
      </c>
      <c r="F463" s="34" t="s">
        <v>67</v>
      </c>
      <c r="G463" s="47">
        <f>G107</f>
        <v>51.385282864887252</v>
      </c>
      <c r="H463" s="28" t="s">
        <v>69</v>
      </c>
      <c r="I463" s="27"/>
      <c r="J463" s="28"/>
      <c r="K463" s="28"/>
      <c r="L463" s="28"/>
      <c r="M463" s="30"/>
      <c r="N463" s="30"/>
      <c r="O463" s="30"/>
    </row>
    <row r="464" spans="1:15" ht="18.75">
      <c r="A464" s="28"/>
      <c r="B464" s="28" t="s">
        <v>155</v>
      </c>
      <c r="C464" s="28"/>
      <c r="D464" s="28"/>
      <c r="E464" s="33" t="s">
        <v>156</v>
      </c>
      <c r="F464" s="34" t="s">
        <v>67</v>
      </c>
      <c r="G464" s="85">
        <f>G70</f>
        <v>0.20374</v>
      </c>
      <c r="H464" s="28" t="s">
        <v>127</v>
      </c>
      <c r="I464" s="27"/>
      <c r="J464" s="28"/>
      <c r="K464" s="28"/>
      <c r="L464" s="28"/>
      <c r="M464" s="30"/>
      <c r="N464" s="30"/>
      <c r="O464" s="30"/>
    </row>
    <row r="465" spans="1:15" ht="16.5">
      <c r="A465" s="28"/>
      <c r="B465" s="28" t="s">
        <v>456</v>
      </c>
      <c r="C465" s="28"/>
      <c r="D465" s="28"/>
      <c r="E465" s="33" t="s">
        <v>150</v>
      </c>
      <c r="F465" s="34" t="s">
        <v>67</v>
      </c>
      <c r="G465" s="85">
        <f>G12</f>
        <v>1.2</v>
      </c>
      <c r="H465" s="28" t="s">
        <v>98</v>
      </c>
      <c r="I465" s="27" t="s">
        <v>618</v>
      </c>
      <c r="J465" s="28"/>
      <c r="K465" s="28"/>
      <c r="L465" s="28"/>
      <c r="M465" s="30"/>
      <c r="N465" s="30"/>
      <c r="O465" s="30"/>
    </row>
    <row r="466" spans="1:15" ht="18">
      <c r="A466" s="28"/>
      <c r="B466" s="28" t="s">
        <v>460</v>
      </c>
      <c r="C466" s="28"/>
      <c r="D466" s="28"/>
      <c r="E466" s="33" t="s">
        <v>461</v>
      </c>
      <c r="F466" s="34" t="s">
        <v>67</v>
      </c>
      <c r="G466" s="37">
        <f>G464*2/G465*1000</f>
        <v>339.56666666666666</v>
      </c>
      <c r="H466" s="28" t="s">
        <v>80</v>
      </c>
      <c r="I466" s="49" t="s">
        <v>462</v>
      </c>
      <c r="J466" s="28"/>
      <c r="K466" s="28"/>
      <c r="L466" s="46" t="s">
        <v>537</v>
      </c>
      <c r="M466" s="30"/>
      <c r="N466" s="30"/>
      <c r="O466" s="30"/>
    </row>
    <row r="467" spans="1:15" ht="18">
      <c r="A467" s="28"/>
      <c r="B467" s="28" t="s">
        <v>463</v>
      </c>
      <c r="C467" s="28"/>
      <c r="D467" s="28"/>
      <c r="E467" s="33" t="s">
        <v>464</v>
      </c>
      <c r="F467" s="34" t="s">
        <v>67</v>
      </c>
      <c r="G467" s="28">
        <f>IF(G466&lt;100,1,IF(G466&lt;200,1-(1-0.85)*(G466-100)/100,IF(G466&lt;300,0.85-(0.85-0.75)*(G466-200)/100,IF(G466&lt;500,0.75-(0.75-0.7)*(G466-300)/200,IF(G466=500,0.7,IF(G466&gt;500,0.7,0))))))</f>
        <v>0.74010833333333337</v>
      </c>
      <c r="H467" s="28" t="s">
        <v>199</v>
      </c>
      <c r="I467" s="28"/>
      <c r="J467" s="28"/>
      <c r="K467" s="28"/>
      <c r="L467" s="46" t="s">
        <v>465</v>
      </c>
      <c r="M467" s="30"/>
      <c r="N467" s="30"/>
      <c r="O467" s="30"/>
    </row>
    <row r="468" spans="1:15" ht="16.5">
      <c r="A468" s="28"/>
      <c r="B468" s="88" t="s">
        <v>487</v>
      </c>
      <c r="C468" s="28"/>
      <c r="D468" s="28"/>
      <c r="E468" s="28"/>
      <c r="F468" s="28"/>
      <c r="G468" s="28"/>
      <c r="H468" s="28"/>
      <c r="I468" s="27" t="s">
        <v>466</v>
      </c>
      <c r="J468" s="28"/>
      <c r="K468" s="28"/>
      <c r="L468" s="28"/>
      <c r="M468" s="30"/>
      <c r="N468" s="30"/>
      <c r="O468" s="30"/>
    </row>
    <row r="469" spans="1:15" ht="16.5">
      <c r="A469" s="28"/>
      <c r="B469" s="28"/>
      <c r="C469" s="28" t="s">
        <v>467</v>
      </c>
      <c r="D469" s="28"/>
      <c r="E469" s="28"/>
      <c r="F469" s="28"/>
      <c r="G469" s="86" t="str">
        <f>VLOOKUP(N48,Hodnoty!A41:E43,2,TRUE)</f>
        <v>R (CEM 42,5R; CEM 52,5N; CEM 52,5R)</v>
      </c>
      <c r="H469" s="28"/>
      <c r="I469" s="28"/>
      <c r="J469" s="28"/>
      <c r="K469" s="28"/>
      <c r="L469" s="28"/>
      <c r="M469" s="30"/>
      <c r="N469" s="30"/>
      <c r="O469" s="30"/>
    </row>
    <row r="470" spans="1:15" ht="18">
      <c r="A470" s="28"/>
      <c r="B470" s="28"/>
      <c r="C470" s="28" t="s">
        <v>477</v>
      </c>
      <c r="D470" s="28"/>
      <c r="E470" s="33" t="s">
        <v>478</v>
      </c>
      <c r="F470" s="34" t="s">
        <v>67</v>
      </c>
      <c r="G470" s="47">
        <f>VLOOKUP(N48,Hodnoty!A41:E43,4,TRUE)</f>
        <v>6</v>
      </c>
      <c r="H470" s="28" t="s">
        <v>199</v>
      </c>
      <c r="I470" s="28"/>
      <c r="J470" s="28"/>
      <c r="K470" s="28"/>
      <c r="L470" s="28"/>
      <c r="M470" s="30"/>
      <c r="N470" s="30"/>
      <c r="O470" s="30"/>
    </row>
    <row r="471" spans="1:15" ht="18">
      <c r="A471" s="28"/>
      <c r="B471" s="28"/>
      <c r="C471" s="28" t="s">
        <v>477</v>
      </c>
      <c r="D471" s="28"/>
      <c r="E471" s="33" t="s">
        <v>479</v>
      </c>
      <c r="F471" s="34" t="s">
        <v>67</v>
      </c>
      <c r="G471" s="47">
        <f>VLOOKUP(N48,Hodnoty!A41:E43,5,TRUE)</f>
        <v>0.11</v>
      </c>
      <c r="H471" s="28" t="s">
        <v>199</v>
      </c>
      <c r="I471" s="28"/>
      <c r="J471" s="28"/>
      <c r="K471" s="28"/>
      <c r="L471" s="28"/>
      <c r="M471" s="30"/>
      <c r="N471" s="30"/>
      <c r="O471" s="30"/>
    </row>
    <row r="472" spans="1:15" ht="16.5">
      <c r="A472" s="28"/>
      <c r="B472" s="28"/>
      <c r="C472" s="28" t="s">
        <v>480</v>
      </c>
      <c r="D472" s="28"/>
      <c r="E472" s="33" t="s">
        <v>481</v>
      </c>
      <c r="F472" s="34" t="s">
        <v>67</v>
      </c>
      <c r="G472" s="53">
        <v>60</v>
      </c>
      <c r="H472" s="28" t="s">
        <v>236</v>
      </c>
      <c r="I472" s="28"/>
      <c r="J472" s="28"/>
      <c r="K472" s="28"/>
      <c r="L472" s="28"/>
      <c r="M472" s="30"/>
      <c r="N472" s="30"/>
      <c r="O472" s="30"/>
    </row>
    <row r="473" spans="1:15" ht="18">
      <c r="A473" s="28"/>
      <c r="B473" s="28"/>
      <c r="C473" s="28" t="s">
        <v>482</v>
      </c>
      <c r="D473" s="28"/>
      <c r="E473" s="33" t="s">
        <v>483</v>
      </c>
      <c r="F473" s="34" t="s">
        <v>67</v>
      </c>
      <c r="G473" s="85">
        <f>1.55*(1-POWER(G472/100,3))</f>
        <v>1.2152000000000001</v>
      </c>
      <c r="H473" s="28" t="s">
        <v>199</v>
      </c>
      <c r="I473" s="28"/>
      <c r="J473" s="28"/>
      <c r="K473" s="28"/>
      <c r="L473" s="46" t="s">
        <v>484</v>
      </c>
      <c r="M473" s="30"/>
      <c r="N473" s="30"/>
      <c r="O473" s="30"/>
    </row>
    <row r="474" spans="1:15" ht="18">
      <c r="A474" s="28"/>
      <c r="B474" s="28"/>
      <c r="C474" s="28" t="s">
        <v>486</v>
      </c>
      <c r="D474" s="28"/>
      <c r="E474" s="33" t="s">
        <v>488</v>
      </c>
      <c r="F474" s="34" t="s">
        <v>67</v>
      </c>
      <c r="G474" s="85">
        <f>0.85*((220+110*G470)*EXP(-G471*G40/10))*0.001*G473</f>
        <v>0.50740609041391727</v>
      </c>
      <c r="H474" s="28" t="s">
        <v>489</v>
      </c>
      <c r="I474" s="28"/>
      <c r="J474" s="28"/>
      <c r="K474" s="28"/>
      <c r="L474" s="46" t="s">
        <v>485</v>
      </c>
      <c r="M474" s="30"/>
      <c r="N474" s="30"/>
      <c r="O474" s="30"/>
    </row>
    <row r="475" spans="1:15" ht="18">
      <c r="A475" s="28"/>
      <c r="B475" s="28" t="s">
        <v>490</v>
      </c>
      <c r="C475" s="28"/>
      <c r="D475" s="28"/>
      <c r="E475" s="33" t="s">
        <v>491</v>
      </c>
      <c r="F475" s="34" t="s">
        <v>67</v>
      </c>
      <c r="G475" s="85">
        <f>(G462-G461)/((G462-G461)+0.04*POWER(G466,3/2))</f>
        <v>0.99318848844480268</v>
      </c>
      <c r="H475" s="28" t="s">
        <v>199</v>
      </c>
      <c r="I475" s="28"/>
      <c r="J475" s="28"/>
      <c r="K475" s="28"/>
      <c r="L475" s="46" t="s">
        <v>492</v>
      </c>
      <c r="M475" s="30"/>
      <c r="N475" s="30"/>
      <c r="O475" s="30"/>
    </row>
    <row r="476" spans="1:15" ht="18">
      <c r="A476" s="28"/>
      <c r="B476" s="51" t="s">
        <v>493</v>
      </c>
      <c r="C476" s="28"/>
      <c r="D476" s="28"/>
      <c r="E476" s="33" t="s">
        <v>494</v>
      </c>
      <c r="F476" s="34" t="s">
        <v>67</v>
      </c>
      <c r="G476" s="85">
        <f>G475*G467*G474</f>
        <v>0.3729775116659515</v>
      </c>
      <c r="H476" s="28" t="s">
        <v>489</v>
      </c>
      <c r="I476" s="49" t="s">
        <v>495</v>
      </c>
      <c r="J476" s="28"/>
      <c r="K476" s="28"/>
      <c r="L476" s="46" t="s">
        <v>496</v>
      </c>
      <c r="M476" s="30"/>
      <c r="N476" s="30"/>
      <c r="O476" s="30"/>
    </row>
    <row r="477" spans="1:15" ht="18.75">
      <c r="A477" s="28"/>
      <c r="B477" s="28"/>
      <c r="C477" s="28"/>
      <c r="D477" s="28"/>
      <c r="E477" s="33" t="s">
        <v>498</v>
      </c>
      <c r="F477" s="34" t="s">
        <v>67</v>
      </c>
      <c r="G477" s="142">
        <f>2.5*(G42-10)*0.000001</f>
        <v>8.7499999999999999E-5</v>
      </c>
      <c r="H477" s="28" t="s">
        <v>199</v>
      </c>
      <c r="I477" s="49" t="s">
        <v>499</v>
      </c>
      <c r="J477" s="28"/>
      <c r="K477" s="28"/>
      <c r="L477" s="46" t="s">
        <v>502</v>
      </c>
      <c r="M477" s="30"/>
      <c r="N477" s="30"/>
      <c r="O477" s="30"/>
    </row>
    <row r="478" spans="1:15" ht="18.75">
      <c r="A478" s="28"/>
      <c r="B478" s="28"/>
      <c r="C478" s="28"/>
      <c r="D478" s="28"/>
      <c r="E478" s="33" t="s">
        <v>500</v>
      </c>
      <c r="F478" s="34" t="s">
        <v>67</v>
      </c>
      <c r="G478" s="85">
        <f>1-EXP(-0.2*POWER(G462,0.5))</f>
        <v>1</v>
      </c>
      <c r="H478" s="28" t="s">
        <v>199</v>
      </c>
      <c r="I478" s="49" t="s">
        <v>501</v>
      </c>
      <c r="J478" s="28"/>
      <c r="K478" s="28"/>
      <c r="L478" s="46" t="s">
        <v>503</v>
      </c>
      <c r="M478" s="30"/>
      <c r="N478" s="30"/>
      <c r="O478" s="30"/>
    </row>
    <row r="479" spans="1:15" ht="18">
      <c r="A479" s="28"/>
      <c r="B479" s="51" t="s">
        <v>497</v>
      </c>
      <c r="C479" s="28"/>
      <c r="D479" s="28"/>
      <c r="E479" s="33" t="s">
        <v>504</v>
      </c>
      <c r="F479" s="34" t="s">
        <v>67</v>
      </c>
      <c r="G479" s="143">
        <f>G478*G477*1000</f>
        <v>8.7499999999999994E-2</v>
      </c>
      <c r="H479" s="28" t="s">
        <v>489</v>
      </c>
      <c r="I479" s="49" t="s">
        <v>505</v>
      </c>
      <c r="J479" s="28"/>
      <c r="K479" s="28"/>
      <c r="L479" s="46" t="s">
        <v>506</v>
      </c>
      <c r="M479" s="30"/>
      <c r="N479" s="30"/>
      <c r="O479" s="30"/>
    </row>
    <row r="480" spans="1:15" ht="18">
      <c r="A480" s="28"/>
      <c r="B480" s="51" t="s">
        <v>507</v>
      </c>
      <c r="C480" s="28"/>
      <c r="D480" s="28"/>
      <c r="E480" s="33" t="s">
        <v>508</v>
      </c>
      <c r="F480" s="34" t="s">
        <v>67</v>
      </c>
      <c r="G480" s="143">
        <f>G479+G476</f>
        <v>0.46047751166595152</v>
      </c>
      <c r="H480" s="28" t="s">
        <v>489</v>
      </c>
      <c r="I480" s="49" t="s">
        <v>509</v>
      </c>
      <c r="J480" s="28"/>
      <c r="K480" s="28"/>
      <c r="L480" s="46" t="s">
        <v>510</v>
      </c>
      <c r="M480" s="30"/>
      <c r="N480" s="30"/>
      <c r="O480" s="30"/>
    </row>
    <row r="481" spans="1:15" ht="7.5" customHeight="1">
      <c r="A481" s="28"/>
      <c r="B481" s="51"/>
      <c r="C481" s="28"/>
      <c r="D481" s="28"/>
      <c r="E481" s="33"/>
      <c r="F481" s="34"/>
      <c r="G481" s="143"/>
      <c r="H481" s="28"/>
      <c r="I481" s="49"/>
      <c r="J481" s="28"/>
      <c r="K481" s="28"/>
      <c r="L481" s="46"/>
      <c r="M481" s="30"/>
      <c r="N481" s="30"/>
      <c r="O481" s="30"/>
    </row>
    <row r="482" spans="1:15" ht="18">
      <c r="A482" s="28"/>
      <c r="B482" s="71" t="s">
        <v>641</v>
      </c>
      <c r="C482" s="28"/>
      <c r="D482" s="28"/>
      <c r="E482" s="96" t="s">
        <v>622</v>
      </c>
      <c r="F482" s="73" t="s">
        <v>67</v>
      </c>
      <c r="G482" s="95">
        <f>-G480*0.001*G57*1000-G296</f>
        <v>-58.690502487496509</v>
      </c>
      <c r="H482" s="71" t="s">
        <v>69</v>
      </c>
      <c r="I482" s="84" t="s">
        <v>886</v>
      </c>
      <c r="J482" s="28"/>
      <c r="K482" s="28"/>
      <c r="L482" s="28"/>
      <c r="M482" s="30"/>
      <c r="N482" s="30"/>
      <c r="O482" s="30"/>
    </row>
    <row r="483" spans="1:15" ht="16.5">
      <c r="A483" s="28"/>
      <c r="B483" s="28"/>
      <c r="C483" s="28"/>
      <c r="D483" s="28"/>
      <c r="E483" s="28"/>
      <c r="F483" s="28"/>
      <c r="G483" s="28"/>
      <c r="H483" s="28"/>
      <c r="I483" s="156" t="s">
        <v>951</v>
      </c>
      <c r="J483" s="28"/>
      <c r="K483" s="28"/>
      <c r="L483" s="28"/>
      <c r="M483" s="30"/>
      <c r="N483" s="30"/>
      <c r="O483" s="30"/>
    </row>
    <row r="484" spans="1:15" ht="16.5">
      <c r="A484" s="71" t="s">
        <v>635</v>
      </c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30"/>
      <c r="N484" s="30"/>
      <c r="O484" s="30"/>
    </row>
    <row r="485" spans="1:15" ht="7.5" customHeight="1">
      <c r="A485" s="71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30"/>
      <c r="N485" s="30"/>
      <c r="O485" s="30"/>
    </row>
    <row r="486" spans="1:15" ht="18">
      <c r="A486" s="71"/>
      <c r="B486" s="28" t="s">
        <v>516</v>
      </c>
      <c r="C486" s="28"/>
      <c r="D486" s="28"/>
      <c r="E486" s="33" t="s">
        <v>623</v>
      </c>
      <c r="F486" s="34" t="s">
        <v>67</v>
      </c>
      <c r="G486" s="37">
        <f>$G$432</f>
        <v>21</v>
      </c>
      <c r="H486" s="28" t="s">
        <v>310</v>
      </c>
      <c r="I486" s="28"/>
      <c r="J486" s="28"/>
      <c r="K486" s="28"/>
      <c r="L486" s="28"/>
      <c r="M486" s="30"/>
      <c r="N486" s="30"/>
      <c r="O486" s="30"/>
    </row>
    <row r="487" spans="1:15" ht="18.75">
      <c r="A487" s="71"/>
      <c r="B487" s="28" t="s">
        <v>517</v>
      </c>
      <c r="C487" s="28"/>
      <c r="D487" s="28"/>
      <c r="E487" s="33" t="s">
        <v>620</v>
      </c>
      <c r="F487" s="34" t="s">
        <v>67</v>
      </c>
      <c r="G487" s="37">
        <f>$G$433</f>
        <v>36500</v>
      </c>
      <c r="H487" s="28" t="s">
        <v>449</v>
      </c>
      <c r="I487" s="28"/>
      <c r="J487" s="28"/>
      <c r="K487" s="28"/>
      <c r="L487" s="28"/>
      <c r="M487" s="30"/>
      <c r="N487" s="30"/>
      <c r="O487" s="30"/>
    </row>
    <row r="488" spans="1:15" ht="16.5">
      <c r="A488" s="71"/>
      <c r="B488" s="51" t="s">
        <v>624</v>
      </c>
      <c r="C488" s="28"/>
      <c r="D488" s="28"/>
      <c r="E488" s="28"/>
      <c r="F488" s="28"/>
      <c r="G488" s="28"/>
      <c r="H488" s="28"/>
      <c r="I488" s="28" t="s">
        <v>652</v>
      </c>
      <c r="J488" s="28"/>
      <c r="K488" s="28"/>
      <c r="L488" s="28"/>
      <c r="M488" s="30"/>
      <c r="N488" s="30"/>
      <c r="O488" s="30"/>
    </row>
    <row r="489" spans="1:15" ht="18.75">
      <c r="A489" s="71"/>
      <c r="B489" s="51"/>
      <c r="C489" s="28" t="s">
        <v>631</v>
      </c>
      <c r="D489" s="28"/>
      <c r="E489" s="33" t="s">
        <v>599</v>
      </c>
      <c r="F489" s="34" t="s">
        <v>67</v>
      </c>
      <c r="G489" s="47">
        <f>$G$443</f>
        <v>304.70106750000002</v>
      </c>
      <c r="H489" s="28" t="s">
        <v>279</v>
      </c>
      <c r="I489" s="49" t="s">
        <v>633</v>
      </c>
      <c r="J489" s="28"/>
      <c r="K489" s="28"/>
      <c r="L489" s="28"/>
      <c r="M489" s="30"/>
      <c r="N489" s="30"/>
      <c r="O489" s="30"/>
    </row>
    <row r="490" spans="1:15" ht="18.75">
      <c r="A490" s="71"/>
      <c r="B490" s="51"/>
      <c r="C490" s="28" t="s">
        <v>520</v>
      </c>
      <c r="D490" s="28"/>
      <c r="E490" s="33" t="s">
        <v>632</v>
      </c>
      <c r="F490" s="34" t="s">
        <v>67</v>
      </c>
      <c r="G490" s="47">
        <f>G338+G446</f>
        <v>1446.3929153891308</v>
      </c>
      <c r="H490" s="28" t="s">
        <v>119</v>
      </c>
      <c r="I490" s="245" t="s">
        <v>523</v>
      </c>
      <c r="J490" s="245"/>
      <c r="K490" s="245"/>
      <c r="L490" s="245"/>
      <c r="M490" s="30"/>
      <c r="N490" s="30"/>
      <c r="O490" s="30"/>
    </row>
    <row r="491" spans="1:15" ht="18.75">
      <c r="A491" s="71"/>
      <c r="B491" s="51"/>
      <c r="C491" s="28" t="s">
        <v>524</v>
      </c>
      <c r="D491" s="28"/>
      <c r="E491" s="33" t="s">
        <v>634</v>
      </c>
      <c r="F491" s="34" t="s">
        <v>67</v>
      </c>
      <c r="G491" s="47">
        <f>G495*G490</f>
        <v>183.49976841308745</v>
      </c>
      <c r="H491" s="28" t="s">
        <v>279</v>
      </c>
      <c r="I491" s="245"/>
      <c r="J491" s="245"/>
      <c r="K491" s="245"/>
      <c r="L491" s="245"/>
      <c r="M491" s="30"/>
      <c r="N491" s="30"/>
      <c r="O491" s="30"/>
    </row>
    <row r="492" spans="1:15" ht="18.75">
      <c r="A492" s="71"/>
      <c r="B492" s="28" t="s">
        <v>577</v>
      </c>
      <c r="C492" s="28"/>
      <c r="D492" s="28"/>
      <c r="E492" s="33" t="s">
        <v>124</v>
      </c>
      <c r="F492" s="34" t="s">
        <v>67</v>
      </c>
      <c r="G492" s="37">
        <f>$G$74</f>
        <v>1365</v>
      </c>
      <c r="H492" s="28" t="s">
        <v>99</v>
      </c>
      <c r="I492" s="144"/>
      <c r="J492" s="144"/>
      <c r="K492" s="144"/>
      <c r="L492" s="144"/>
      <c r="M492" s="30"/>
      <c r="N492" s="30"/>
      <c r="O492" s="30"/>
    </row>
    <row r="493" spans="1:15" ht="18.75">
      <c r="A493" s="71"/>
      <c r="B493" s="28" t="s">
        <v>155</v>
      </c>
      <c r="C493" s="45"/>
      <c r="D493" s="45"/>
      <c r="E493" s="33" t="s">
        <v>156</v>
      </c>
      <c r="F493" s="34" t="s">
        <v>67</v>
      </c>
      <c r="G493" s="34">
        <f>$G$70</f>
        <v>0.20374</v>
      </c>
      <c r="H493" s="28" t="s">
        <v>127</v>
      </c>
      <c r="I493" s="144"/>
      <c r="J493" s="144"/>
      <c r="K493" s="144"/>
      <c r="L493" s="144"/>
      <c r="M493" s="30"/>
      <c r="N493" s="30"/>
      <c r="O493" s="30"/>
    </row>
    <row r="494" spans="1:15" ht="18.75">
      <c r="A494" s="28"/>
      <c r="B494" s="28" t="s">
        <v>526</v>
      </c>
      <c r="C494" s="45"/>
      <c r="D494" s="45"/>
      <c r="E494" s="33" t="s">
        <v>190</v>
      </c>
      <c r="F494" s="34" t="s">
        <v>67</v>
      </c>
      <c r="G494" s="77">
        <f>$G$72</f>
        <v>4.2814000000000003E-3</v>
      </c>
      <c r="H494" s="28" t="s">
        <v>130</v>
      </c>
      <c r="I494" s="28"/>
      <c r="J494" s="28"/>
      <c r="K494" s="28"/>
      <c r="L494" s="28"/>
      <c r="M494" s="30"/>
      <c r="N494" s="30"/>
      <c r="O494" s="30"/>
    </row>
    <row r="495" spans="1:15" ht="18">
      <c r="A495" s="28"/>
      <c r="B495" s="28" t="s">
        <v>203</v>
      </c>
      <c r="C495" s="45"/>
      <c r="D495" s="45"/>
      <c r="E495" s="33" t="s">
        <v>204</v>
      </c>
      <c r="F495" s="34" t="s">
        <v>67</v>
      </c>
      <c r="G495" s="85">
        <f>G76</f>
        <v>0.1268671648351648</v>
      </c>
      <c r="H495" s="28" t="s">
        <v>98</v>
      </c>
      <c r="I495" s="28"/>
      <c r="J495" s="28"/>
      <c r="K495" s="28"/>
      <c r="L495" s="28"/>
      <c r="M495" s="30"/>
      <c r="N495" s="30"/>
      <c r="O495" s="30"/>
    </row>
    <row r="496" spans="1:15" ht="18.75">
      <c r="A496" s="28"/>
      <c r="B496" s="28" t="s">
        <v>893</v>
      </c>
      <c r="C496" s="28"/>
      <c r="D496" s="28"/>
      <c r="E496" s="48" t="s">
        <v>894</v>
      </c>
      <c r="F496" s="34" t="s">
        <v>67</v>
      </c>
      <c r="G496" s="85">
        <f>-G490*0.001/G493-G491*0.001*G495/G494+G489*0.001*G495/G494</f>
        <v>-3.5077520840031919</v>
      </c>
      <c r="H496" s="28" t="s">
        <v>69</v>
      </c>
      <c r="I496" s="28"/>
      <c r="J496" s="28"/>
      <c r="K496" s="28"/>
      <c r="L496" s="28"/>
      <c r="M496" s="30"/>
      <c r="N496" s="30"/>
      <c r="O496" s="30"/>
    </row>
    <row r="497" spans="1:15" ht="18">
      <c r="A497" s="28"/>
      <c r="B497" s="51" t="s">
        <v>538</v>
      </c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30"/>
      <c r="N497" s="30"/>
      <c r="O497" s="30"/>
    </row>
    <row r="498" spans="1:15" ht="18">
      <c r="A498" s="28"/>
      <c r="B498" s="28"/>
      <c r="C498" s="28" t="s">
        <v>530</v>
      </c>
      <c r="D498" s="28"/>
      <c r="E498" s="48" t="s">
        <v>531</v>
      </c>
      <c r="F498" s="34" t="s">
        <v>67</v>
      </c>
      <c r="G498" s="85">
        <f>POWER(35/$G$40,0.7)</f>
        <v>0.74791892460787612</v>
      </c>
      <c r="H498" s="28" t="s">
        <v>199</v>
      </c>
      <c r="I498" s="28"/>
      <c r="J498" s="28"/>
      <c r="K498" s="28"/>
      <c r="L498" s="28"/>
      <c r="M498" s="30"/>
      <c r="N498" s="30"/>
      <c r="O498" s="30"/>
    </row>
    <row r="499" spans="1:15" ht="18">
      <c r="A499" s="28"/>
      <c r="B499" s="28"/>
      <c r="C499" s="28"/>
      <c r="D499" s="28"/>
      <c r="E499" s="48" t="s">
        <v>324</v>
      </c>
      <c r="F499" s="34" t="s">
        <v>67</v>
      </c>
      <c r="G499" s="85">
        <f>POWER(35/$G$40,0.2)</f>
        <v>0.92036148244185478</v>
      </c>
      <c r="H499" s="28" t="s">
        <v>199</v>
      </c>
      <c r="I499" s="28"/>
      <c r="J499" s="28"/>
      <c r="K499" s="28"/>
      <c r="L499" s="46" t="s">
        <v>533</v>
      </c>
      <c r="M499" s="30"/>
      <c r="N499" s="30"/>
      <c r="O499" s="30"/>
    </row>
    <row r="500" spans="1:15" ht="18">
      <c r="A500" s="28"/>
      <c r="B500" s="28"/>
      <c r="C500" s="28"/>
      <c r="D500" s="28"/>
      <c r="E500" s="48" t="s">
        <v>532</v>
      </c>
      <c r="F500" s="34" t="s">
        <v>67</v>
      </c>
      <c r="G500" s="85">
        <f>POWER(35/$G$40,0.5)</f>
        <v>0.81263605537200112</v>
      </c>
      <c r="H500" s="28" t="s">
        <v>199</v>
      </c>
      <c r="I500" s="28"/>
      <c r="J500" s="28"/>
      <c r="K500" s="28"/>
      <c r="L500" s="28"/>
      <c r="M500" s="30"/>
      <c r="N500" s="30"/>
      <c r="O500" s="30"/>
    </row>
    <row r="501" spans="1:15" ht="16.5">
      <c r="A501" s="28"/>
      <c r="B501" s="28"/>
      <c r="C501" s="28" t="s">
        <v>480</v>
      </c>
      <c r="D501" s="28"/>
      <c r="E501" s="33" t="s">
        <v>481</v>
      </c>
      <c r="F501" s="34" t="s">
        <v>67</v>
      </c>
      <c r="G501" s="34">
        <f>$G$286</f>
        <v>60</v>
      </c>
      <c r="H501" s="28" t="s">
        <v>236</v>
      </c>
      <c r="I501" s="28"/>
      <c r="J501" s="28"/>
      <c r="K501" s="28"/>
      <c r="L501" s="28"/>
      <c r="M501" s="30"/>
      <c r="N501" s="30"/>
      <c r="O501" s="30"/>
    </row>
    <row r="502" spans="1:15" ht="18">
      <c r="A502" s="28"/>
      <c r="B502" s="28"/>
      <c r="C502" s="28" t="s">
        <v>534</v>
      </c>
      <c r="D502" s="28"/>
      <c r="E502" s="48" t="s">
        <v>535</v>
      </c>
      <c r="F502" s="34" t="s">
        <v>67</v>
      </c>
      <c r="G502" s="85">
        <f>(1+(1-G501/100)/(0.1*POWER(G466,1/3))*G498)*G499</f>
        <v>1.315028891672098</v>
      </c>
      <c r="H502" s="28" t="s">
        <v>199</v>
      </c>
      <c r="I502" s="28"/>
      <c r="J502" s="28"/>
      <c r="K502" s="28"/>
      <c r="L502" s="46" t="s">
        <v>536</v>
      </c>
      <c r="M502" s="30"/>
      <c r="N502" s="30"/>
      <c r="O502" s="30"/>
    </row>
    <row r="503" spans="1:15" ht="18.75">
      <c r="A503" s="28"/>
      <c r="B503" s="28"/>
      <c r="C503" s="28" t="s">
        <v>530</v>
      </c>
      <c r="D503" s="28"/>
      <c r="E503" s="33" t="s">
        <v>539</v>
      </c>
      <c r="F503" s="34" t="s">
        <v>67</v>
      </c>
      <c r="G503" s="85">
        <f>16.8/POWER($G$40,0.5)</f>
        <v>2.3076574743379759</v>
      </c>
      <c r="H503" s="28" t="s">
        <v>199</v>
      </c>
      <c r="I503" s="49" t="s">
        <v>540</v>
      </c>
      <c r="J503" s="28"/>
      <c r="K503" s="28"/>
      <c r="L503" s="46" t="s">
        <v>541</v>
      </c>
      <c r="M503" s="30"/>
      <c r="N503" s="30"/>
      <c r="O503" s="30"/>
    </row>
    <row r="504" spans="1:15" ht="18">
      <c r="A504" s="28"/>
      <c r="B504" s="28"/>
      <c r="C504" s="86" t="s">
        <v>544</v>
      </c>
      <c r="D504" s="28"/>
      <c r="E504" s="33" t="s">
        <v>545</v>
      </c>
      <c r="F504" s="34" t="s">
        <v>67</v>
      </c>
      <c r="G504" s="37">
        <f>G486</f>
        <v>21</v>
      </c>
      <c r="H504" s="28" t="s">
        <v>546</v>
      </c>
      <c r="I504" s="28"/>
      <c r="J504" s="28"/>
      <c r="K504" s="28"/>
      <c r="L504" s="28"/>
      <c r="M504" s="30"/>
      <c r="N504" s="30"/>
      <c r="O504" s="30"/>
    </row>
    <row r="505" spans="1:15" ht="7.5" customHeight="1">
      <c r="A505" s="28"/>
      <c r="B505" s="28"/>
      <c r="C505" s="45"/>
      <c r="D505" s="45"/>
      <c r="E505" s="45"/>
      <c r="F505" s="28"/>
      <c r="G505" s="28"/>
      <c r="H505" s="28"/>
      <c r="I505" s="144"/>
      <c r="J505" s="144"/>
      <c r="K505" s="144"/>
      <c r="L505" s="144"/>
      <c r="M505" s="30"/>
      <c r="N505" s="30"/>
      <c r="O505" s="30"/>
    </row>
    <row r="506" spans="1:15" ht="16.5">
      <c r="A506" s="28"/>
      <c r="B506" s="28"/>
      <c r="C506" s="28" t="s">
        <v>549</v>
      </c>
      <c r="D506" s="28"/>
      <c r="E506" s="100" t="s">
        <v>361</v>
      </c>
      <c r="F506" s="34" t="s">
        <v>67</v>
      </c>
      <c r="G506" s="37">
        <f>VLOOKUP(N48,Hodnoty!A41:F43,6,TRUE)</f>
        <v>1</v>
      </c>
      <c r="H506" s="28" t="s">
        <v>199</v>
      </c>
      <c r="I506" s="144"/>
      <c r="J506" s="144"/>
      <c r="K506" s="144"/>
      <c r="L506" s="144"/>
      <c r="M506" s="30"/>
      <c r="N506" s="30"/>
      <c r="O506" s="30"/>
    </row>
    <row r="507" spans="1:15" ht="18.75">
      <c r="A507" s="28"/>
      <c r="B507" s="28"/>
      <c r="C507" s="28" t="s">
        <v>542</v>
      </c>
      <c r="D507" s="28"/>
      <c r="E507" s="33" t="s">
        <v>548</v>
      </c>
      <c r="F507" s="34" t="s">
        <v>67</v>
      </c>
      <c r="G507" s="37">
        <f>IF(G504*POWER((9/(2+POWER(G504,1.2))+1),G506)&gt;0.5,G504*POWER((9/(2+POWER(G504,1.2))+1),G506),0.5)</f>
        <v>25.654399504635144</v>
      </c>
      <c r="H507" s="28" t="s">
        <v>546</v>
      </c>
      <c r="I507" s="28" t="s">
        <v>550</v>
      </c>
      <c r="J507" s="28"/>
      <c r="K507" s="28"/>
      <c r="L507" s="46" t="s">
        <v>554</v>
      </c>
      <c r="M507" s="30"/>
      <c r="N507" s="30"/>
      <c r="O507" s="30"/>
    </row>
    <row r="508" spans="1:15" ht="18.75">
      <c r="A508" s="28"/>
      <c r="B508" s="28"/>
      <c r="C508" s="28" t="s">
        <v>551</v>
      </c>
      <c r="D508" s="28"/>
      <c r="E508" s="33" t="s">
        <v>553</v>
      </c>
      <c r="F508" s="34" t="s">
        <v>67</v>
      </c>
      <c r="G508" s="85">
        <f>1/(0.1+POWER(G507,0.2))</f>
        <v>0.49664338558454085</v>
      </c>
      <c r="H508" s="28" t="s">
        <v>199</v>
      </c>
      <c r="I508" s="49" t="s">
        <v>555</v>
      </c>
      <c r="J508" s="28"/>
      <c r="K508" s="28"/>
      <c r="L508" s="46" t="s">
        <v>556</v>
      </c>
      <c r="M508" s="30"/>
      <c r="N508" s="30"/>
      <c r="O508" s="30"/>
    </row>
    <row r="509" spans="1:15" ht="18.75">
      <c r="A509" s="28"/>
      <c r="B509" s="28"/>
      <c r="C509" s="28" t="s">
        <v>477</v>
      </c>
      <c r="D509" s="28"/>
      <c r="E509" s="48" t="s">
        <v>557</v>
      </c>
      <c r="F509" s="34" t="s">
        <v>67</v>
      </c>
      <c r="G509" s="37">
        <f>IF((1.5*(1+POWER((0.012*G501),18))*G466+250*G500)&gt;1500*G500,1500,1.5*(1+POWER((0.012*G501),18))*G466+250*G500)</f>
        <v>713.88622726395852</v>
      </c>
      <c r="H509" s="28" t="s">
        <v>199</v>
      </c>
      <c r="I509" s="84" t="s">
        <v>558</v>
      </c>
      <c r="J509" s="28"/>
      <c r="K509" s="28"/>
      <c r="L509" s="46" t="s">
        <v>559</v>
      </c>
      <c r="M509" s="30"/>
      <c r="N509" s="30"/>
      <c r="O509" s="30"/>
    </row>
    <row r="510" spans="1:15" ht="18.75">
      <c r="A510" s="28"/>
      <c r="B510" s="28"/>
      <c r="C510" s="28" t="s">
        <v>560</v>
      </c>
      <c r="D510" s="28"/>
      <c r="E510" s="33" t="s">
        <v>562</v>
      </c>
      <c r="F510" s="34" t="s">
        <v>67</v>
      </c>
      <c r="G510" s="85">
        <f>POWER((G487-G507)/(G509+G487-G507),0.3)</f>
        <v>0.99420191138028147</v>
      </c>
      <c r="H510" s="28" t="s">
        <v>199</v>
      </c>
      <c r="I510" s="49" t="s">
        <v>563</v>
      </c>
      <c r="J510" s="28"/>
      <c r="K510" s="28"/>
      <c r="L510" s="46" t="s">
        <v>561</v>
      </c>
      <c r="M510" s="30"/>
      <c r="N510" s="30"/>
      <c r="O510" s="30"/>
    </row>
    <row r="511" spans="1:15" ht="18">
      <c r="A511" s="28"/>
      <c r="B511" s="28"/>
      <c r="C511" s="28" t="s">
        <v>565</v>
      </c>
      <c r="D511" s="28"/>
      <c r="E511" s="48" t="s">
        <v>566</v>
      </c>
      <c r="F511" s="34" t="s">
        <v>67</v>
      </c>
      <c r="G511" s="85">
        <f>G502*G503*G508</f>
        <v>1.5071320216335147</v>
      </c>
      <c r="H511" s="28" t="s">
        <v>199</v>
      </c>
      <c r="I511" s="84" t="s">
        <v>567</v>
      </c>
      <c r="J511" s="28"/>
      <c r="K511" s="28"/>
      <c r="L511" s="46" t="s">
        <v>568</v>
      </c>
      <c r="M511" s="30"/>
      <c r="N511" s="30"/>
      <c r="O511" s="30"/>
    </row>
    <row r="512" spans="1:15" ht="18">
      <c r="A512" s="28"/>
      <c r="B512" s="28" t="s">
        <v>529</v>
      </c>
      <c r="C512" s="28"/>
      <c r="D512" s="28"/>
      <c r="E512" s="33" t="s">
        <v>572</v>
      </c>
      <c r="F512" s="34" t="s">
        <v>67</v>
      </c>
      <c r="G512" s="85">
        <f>G511*G510</f>
        <v>1.4983935366104679</v>
      </c>
      <c r="H512" s="28" t="s">
        <v>199</v>
      </c>
      <c r="I512" s="49" t="s">
        <v>573</v>
      </c>
      <c r="J512" s="28"/>
      <c r="K512" s="28"/>
      <c r="L512" s="46" t="s">
        <v>569</v>
      </c>
      <c r="M512" s="30"/>
      <c r="N512" s="30"/>
      <c r="O512" s="30"/>
    </row>
    <row r="513" spans="1:15" ht="7.5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30"/>
      <c r="N513" s="30"/>
      <c r="O513" s="30"/>
    </row>
    <row r="514" spans="1:15" ht="18">
      <c r="A514" s="28"/>
      <c r="B514" s="71" t="s">
        <v>640</v>
      </c>
      <c r="C514" s="28"/>
      <c r="D514" s="28"/>
      <c r="E514" s="96" t="s">
        <v>636</v>
      </c>
      <c r="F514" s="73" t="s">
        <v>67</v>
      </c>
      <c r="G514" s="95">
        <f>$G$57/$G$44*G512*G496</f>
        <v>-31.633291508856328</v>
      </c>
      <c r="H514" s="71" t="s">
        <v>69</v>
      </c>
      <c r="I514" s="84" t="s">
        <v>637</v>
      </c>
      <c r="J514" s="28"/>
      <c r="K514" s="28"/>
      <c r="L514" s="28"/>
      <c r="M514" s="30"/>
      <c r="N514" s="30"/>
      <c r="O514" s="30"/>
    </row>
    <row r="515" spans="1:15" ht="7.5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30"/>
      <c r="N515" s="30"/>
      <c r="O515" s="30"/>
    </row>
    <row r="516" spans="1:15" ht="16.5">
      <c r="A516" s="71" t="s">
        <v>638</v>
      </c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30"/>
      <c r="N516" s="30"/>
      <c r="O516" s="30"/>
    </row>
    <row r="517" spans="1:15" ht="18">
      <c r="A517" s="28"/>
      <c r="B517" s="71" t="s">
        <v>639</v>
      </c>
      <c r="C517" s="28"/>
      <c r="D517" s="28"/>
      <c r="E517" s="96" t="s">
        <v>644</v>
      </c>
      <c r="F517" s="73" t="s">
        <v>67</v>
      </c>
      <c r="G517" s="95">
        <f>(G482+0.8*G458+G514)/(1+G57/G44*G492*0.000001/G493*(1+G493/G494*G495*G495)*(1+0.8*G512))</f>
        <v>-85.194141469285441</v>
      </c>
      <c r="H517" s="71" t="s">
        <v>69</v>
      </c>
      <c r="I517" s="28"/>
      <c r="J517" s="28"/>
      <c r="K517" s="28"/>
      <c r="L517" s="28"/>
      <c r="M517" s="30"/>
      <c r="N517" s="30"/>
      <c r="O517" s="30"/>
    </row>
    <row r="518" spans="1:15" ht="16.5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30"/>
      <c r="N518" s="30"/>
      <c r="O518" s="30"/>
    </row>
    <row r="519" spans="1:15" ht="16.5">
      <c r="A519" s="71" t="s">
        <v>643</v>
      </c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30"/>
      <c r="N519" s="30"/>
      <c r="O519" s="30"/>
    </row>
    <row r="520" spans="1:15" ht="18">
      <c r="A520" s="28"/>
      <c r="B520" s="28" t="s">
        <v>579</v>
      </c>
      <c r="C520" s="28"/>
      <c r="D520" s="28"/>
      <c r="E520" s="96" t="s">
        <v>642</v>
      </c>
      <c r="F520" s="73" t="s">
        <v>67</v>
      </c>
      <c r="G520" s="146">
        <v>0</v>
      </c>
      <c r="H520" s="71" t="s">
        <v>69</v>
      </c>
      <c r="I520" s="28"/>
      <c r="J520" s="28"/>
      <c r="K520" s="28"/>
      <c r="L520" s="28"/>
      <c r="M520" s="30"/>
      <c r="N520" s="30"/>
      <c r="O520" s="30"/>
    </row>
    <row r="521" spans="1:15" ht="7.5" customHeight="1" thickBo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30"/>
      <c r="N521" s="30"/>
      <c r="O521" s="30"/>
    </row>
    <row r="522" spans="1:15" ht="19.5">
      <c r="A522" s="28"/>
      <c r="B522" s="54" t="s">
        <v>953</v>
      </c>
      <c r="C522" s="55"/>
      <c r="D522" s="55"/>
      <c r="E522" s="147" t="s">
        <v>954</v>
      </c>
      <c r="F522" s="148" t="s">
        <v>67</v>
      </c>
      <c r="G522" s="157">
        <f>G336+G517+G520</f>
        <v>957.2907210324646</v>
      </c>
      <c r="H522" s="58" t="s">
        <v>69</v>
      </c>
      <c r="I522" s="59"/>
      <c r="J522" s="59"/>
      <c r="K522" s="59"/>
      <c r="L522" s="121"/>
      <c r="M522" s="30"/>
      <c r="N522" s="30"/>
      <c r="O522" s="30"/>
    </row>
    <row r="523" spans="1:15" ht="16.5">
      <c r="A523" s="28"/>
      <c r="B523" s="122" t="s">
        <v>957</v>
      </c>
      <c r="C523" s="62"/>
      <c r="D523" s="62"/>
      <c r="E523" s="107"/>
      <c r="F523" s="107"/>
      <c r="G523" s="107"/>
      <c r="H523" s="107"/>
      <c r="I523" s="107"/>
      <c r="J523" s="107"/>
      <c r="K523" s="107"/>
      <c r="L523" s="112"/>
      <c r="M523" s="30"/>
      <c r="N523" s="30"/>
      <c r="O523" s="30"/>
    </row>
    <row r="524" spans="1:15" ht="19.5" thickBot="1">
      <c r="A524" s="28"/>
      <c r="B524" s="150"/>
      <c r="C524" s="151"/>
      <c r="D524" s="151"/>
      <c r="E524" s="153" t="s">
        <v>665</v>
      </c>
      <c r="F524" s="69" t="s">
        <v>67</v>
      </c>
      <c r="G524" s="69">
        <f>G522*G492*0.001</f>
        <v>1306.701834209314</v>
      </c>
      <c r="H524" s="132" t="s">
        <v>119</v>
      </c>
      <c r="I524" s="134" t="s">
        <v>961</v>
      </c>
      <c r="J524" s="68"/>
      <c r="K524" s="68"/>
      <c r="L524" s="155"/>
      <c r="M524" s="30"/>
      <c r="N524" s="30"/>
      <c r="O524" s="30"/>
    </row>
    <row r="525" spans="1:15" ht="7.5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30"/>
      <c r="N525" s="30"/>
      <c r="O525" s="30"/>
    </row>
    <row r="526" spans="1:15" ht="18">
      <c r="A526" s="31" t="s">
        <v>942</v>
      </c>
      <c r="B526" s="32"/>
      <c r="C526" s="32"/>
      <c r="D526" s="32"/>
      <c r="E526" s="32"/>
      <c r="F526" s="32"/>
      <c r="G526" s="32"/>
      <c r="H526" s="32"/>
      <c r="I526" s="28"/>
      <c r="J526" s="28"/>
      <c r="K526" s="28"/>
      <c r="L526" s="28"/>
      <c r="M526" s="30"/>
      <c r="N526" s="30"/>
      <c r="O526" s="30"/>
    </row>
    <row r="527" spans="1:15" ht="7.5" customHeight="1">
      <c r="A527" s="170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30"/>
      <c r="N527" s="30"/>
      <c r="O527" s="30"/>
    </row>
    <row r="528" spans="1:15" ht="18">
      <c r="A528" s="28"/>
      <c r="B528" s="28" t="s">
        <v>646</v>
      </c>
      <c r="C528" s="28"/>
      <c r="D528" s="28"/>
      <c r="E528" s="33" t="s">
        <v>648</v>
      </c>
      <c r="F528" s="34" t="s">
        <v>67</v>
      </c>
      <c r="G528" s="47">
        <f>1/2*$G$15*($G$436+$G$439*$G$437)*G125*0.001-1/2*($G$436+$G$439*$G$437)*POWER(G125*0.001,2)</f>
        <v>16.638515012059901</v>
      </c>
      <c r="H528" s="28" t="s">
        <v>279</v>
      </c>
      <c r="I528" s="28"/>
      <c r="J528" s="28"/>
      <c r="K528" s="28"/>
      <c r="L528" s="28"/>
      <c r="M528" s="30"/>
      <c r="N528" s="30"/>
      <c r="O528" s="30"/>
    </row>
    <row r="529" spans="1:15" ht="18">
      <c r="A529" s="28"/>
      <c r="B529" s="28" t="s">
        <v>647</v>
      </c>
      <c r="C529" s="28"/>
      <c r="D529" s="28"/>
      <c r="E529" s="33" t="s">
        <v>649</v>
      </c>
      <c r="F529" s="34" t="s">
        <v>67</v>
      </c>
      <c r="G529" s="47">
        <f>1/2*$G$15*($G$70*25+$G$436+$G$439*$G$437)*G125*0.001-1/2*($G$70*25+$G$436+$G$439*$G$437)*POWER(G125*0.001,2)</f>
        <v>49.234005863570331</v>
      </c>
      <c r="H529" s="28" t="s">
        <v>279</v>
      </c>
      <c r="I529" s="49" t="s">
        <v>601</v>
      </c>
      <c r="J529" s="28"/>
      <c r="K529" s="28"/>
      <c r="L529" s="28"/>
      <c r="M529" s="30"/>
      <c r="N529" s="30"/>
      <c r="O529" s="30"/>
    </row>
    <row r="530" spans="1:15" ht="18">
      <c r="A530" s="28"/>
      <c r="B530" s="28" t="s">
        <v>625</v>
      </c>
      <c r="C530" s="28"/>
      <c r="D530" s="28"/>
      <c r="E530" s="48" t="s">
        <v>627</v>
      </c>
      <c r="F530" s="34" t="s">
        <v>67</v>
      </c>
      <c r="G530" s="47">
        <f>G528*0.001/$G$84*$G$81*$G$57/$G$44</f>
        <v>2.7700933932833367</v>
      </c>
      <c r="H530" s="28" t="s">
        <v>69</v>
      </c>
      <c r="I530" s="49"/>
      <c r="J530" s="28"/>
      <c r="K530" s="28"/>
      <c r="L530" s="28"/>
      <c r="M530" s="30"/>
      <c r="N530" s="30"/>
      <c r="O530" s="30"/>
    </row>
    <row r="531" spans="1:15" ht="18">
      <c r="A531" s="28"/>
      <c r="B531" s="28" t="s">
        <v>626</v>
      </c>
      <c r="C531" s="28"/>
      <c r="D531" s="28"/>
      <c r="E531" s="48" t="s">
        <v>628</v>
      </c>
      <c r="F531" s="34" t="s">
        <v>67</v>
      </c>
      <c r="G531" s="47">
        <f>G530*$G$74*0.001</f>
        <v>3.7811774818317545</v>
      </c>
      <c r="H531" s="28" t="s">
        <v>119</v>
      </c>
      <c r="I531" s="49"/>
      <c r="J531" s="28"/>
      <c r="K531" s="28"/>
      <c r="L531" s="28"/>
      <c r="M531" s="30"/>
      <c r="N531" s="30"/>
      <c r="O531" s="30"/>
    </row>
    <row r="532" spans="1:15" ht="7.5" customHeight="1">
      <c r="A532" s="170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30"/>
      <c r="N532" s="30"/>
      <c r="O532" s="30"/>
    </row>
    <row r="533" spans="1:15" ht="18">
      <c r="A533" s="71" t="s">
        <v>797</v>
      </c>
      <c r="B533" s="28"/>
      <c r="C533" s="28"/>
      <c r="D533" s="28"/>
      <c r="E533" s="96"/>
      <c r="F533" s="73"/>
      <c r="G533" s="90"/>
      <c r="H533" s="28"/>
      <c r="I533" s="28"/>
      <c r="J533" s="28"/>
      <c r="K533" s="28"/>
      <c r="L533" s="28"/>
      <c r="M533" s="30"/>
      <c r="N533" s="30"/>
      <c r="O533" s="30"/>
    </row>
    <row r="534" spans="1:15" ht="18">
      <c r="A534" s="28"/>
      <c r="B534" s="28" t="s">
        <v>229</v>
      </c>
      <c r="C534" s="28"/>
      <c r="D534" s="28"/>
      <c r="E534" s="48" t="s">
        <v>604</v>
      </c>
      <c r="F534" s="34" t="s">
        <v>67</v>
      </c>
      <c r="G534" s="37">
        <f>G380</f>
        <v>994.9251249307132</v>
      </c>
      <c r="H534" s="28" t="s">
        <v>69</v>
      </c>
      <c r="I534" s="84"/>
      <c r="J534" s="28"/>
      <c r="K534" s="28"/>
      <c r="L534" s="28"/>
      <c r="M534" s="30"/>
      <c r="N534" s="30"/>
      <c r="O534" s="30"/>
    </row>
    <row r="535" spans="1:15" ht="18">
      <c r="A535" s="28"/>
      <c r="B535" s="28" t="s">
        <v>891</v>
      </c>
      <c r="C535" s="28"/>
      <c r="D535" s="28"/>
      <c r="E535" s="48" t="s">
        <v>629</v>
      </c>
      <c r="F535" s="34" t="s">
        <v>67</v>
      </c>
      <c r="G535" s="47">
        <f>ABS(G165+G351)+G530</f>
        <v>6.2574767027615206</v>
      </c>
      <c r="H535" s="28" t="s">
        <v>69</v>
      </c>
      <c r="I535" s="84"/>
      <c r="J535" s="28"/>
      <c r="K535" s="28"/>
      <c r="L535" s="28"/>
      <c r="M535" s="30"/>
      <c r="N535" s="30"/>
      <c r="O535" s="30"/>
    </row>
    <row r="536" spans="1:15" ht="18">
      <c r="A536" s="28"/>
      <c r="B536" s="28" t="s">
        <v>436</v>
      </c>
      <c r="C536" s="28"/>
      <c r="D536" s="28"/>
      <c r="E536" s="48"/>
      <c r="F536" s="34" t="s">
        <v>67</v>
      </c>
      <c r="G536" s="37">
        <f>G534+G535</f>
        <v>1001.1826016334747</v>
      </c>
      <c r="H536" s="28" t="s">
        <v>69</v>
      </c>
      <c r="I536" s="84" t="s">
        <v>630</v>
      </c>
      <c r="J536" s="28"/>
      <c r="K536" s="28"/>
      <c r="L536" s="28"/>
      <c r="M536" s="30"/>
      <c r="N536" s="30"/>
      <c r="O536" s="30"/>
    </row>
    <row r="537" spans="1:15" ht="18.75">
      <c r="A537" s="28"/>
      <c r="B537" s="28" t="s">
        <v>651</v>
      </c>
      <c r="C537" s="28"/>
      <c r="D537" s="28"/>
      <c r="E537" s="33" t="s">
        <v>616</v>
      </c>
      <c r="F537" s="34" t="s">
        <v>67</v>
      </c>
      <c r="G537" s="169">
        <f>G433*24-G432*24</f>
        <v>875496</v>
      </c>
      <c r="H537" s="28" t="s">
        <v>243</v>
      </c>
      <c r="I537" s="33" t="s">
        <v>617</v>
      </c>
      <c r="J537" s="28"/>
      <c r="K537" s="28"/>
      <c r="L537" s="28"/>
      <c r="M537" s="30"/>
      <c r="N537" s="30"/>
      <c r="O537" s="30"/>
    </row>
    <row r="538" spans="1:15" ht="18">
      <c r="A538" s="28"/>
      <c r="B538" s="28" t="s">
        <v>440</v>
      </c>
      <c r="C538" s="28"/>
      <c r="D538" s="28"/>
      <c r="E538" s="33" t="s">
        <v>441</v>
      </c>
      <c r="F538" s="34" t="s">
        <v>67</v>
      </c>
      <c r="G538" s="169">
        <f>1000*POWER(G535/(0.66*G540*EXP(9.1*G541)*0.00001*G536),(1/(0.75*(1-G541))))</f>
        <v>20076.203118081514</v>
      </c>
      <c r="H538" s="28" t="s">
        <v>243</v>
      </c>
      <c r="I538" s="28"/>
      <c r="J538" s="28"/>
      <c r="K538" s="28"/>
      <c r="L538" s="28"/>
      <c r="M538" s="30"/>
      <c r="N538" s="30"/>
      <c r="O538" s="30"/>
    </row>
    <row r="539" spans="1:15" ht="16.5">
      <c r="A539" s="28"/>
      <c r="B539" s="28" t="s">
        <v>241</v>
      </c>
      <c r="C539" s="28"/>
      <c r="D539" s="28"/>
      <c r="E539" s="48"/>
      <c r="F539" s="34"/>
      <c r="G539" s="141">
        <f>G162</f>
        <v>2</v>
      </c>
      <c r="H539" s="28"/>
      <c r="I539" s="28"/>
      <c r="J539" s="28"/>
      <c r="K539" s="28"/>
      <c r="L539" s="28"/>
      <c r="M539" s="30"/>
      <c r="N539" s="30"/>
      <c r="O539" s="30"/>
    </row>
    <row r="540" spans="1:15" ht="18">
      <c r="A540" s="28"/>
      <c r="B540" s="86" t="s">
        <v>234</v>
      </c>
      <c r="C540" s="28"/>
      <c r="D540" s="28"/>
      <c r="E540" s="48" t="s">
        <v>235</v>
      </c>
      <c r="F540" s="34" t="s">
        <v>67</v>
      </c>
      <c r="G540" s="37">
        <f>G163</f>
        <v>2.5</v>
      </c>
      <c r="H540" s="28" t="s">
        <v>236</v>
      </c>
      <c r="I540" s="28"/>
      <c r="J540" s="28"/>
      <c r="K540" s="28"/>
      <c r="L540" s="28"/>
      <c r="M540" s="30"/>
      <c r="N540" s="30"/>
      <c r="O540" s="30"/>
    </row>
    <row r="541" spans="1:15" ht="18">
      <c r="A541" s="28"/>
      <c r="B541" s="28"/>
      <c r="C541" s="28"/>
      <c r="D541" s="28"/>
      <c r="E541" s="100" t="s">
        <v>98</v>
      </c>
      <c r="F541" s="34" t="s">
        <v>67</v>
      </c>
      <c r="G541" s="47">
        <f>G536/G53</f>
        <v>0.53827021593197566</v>
      </c>
      <c r="H541" s="28"/>
      <c r="I541" s="101" t="s">
        <v>793</v>
      </c>
      <c r="J541" s="28"/>
      <c r="K541" s="28"/>
      <c r="L541" s="46" t="s">
        <v>240</v>
      </c>
      <c r="M541" s="30"/>
      <c r="N541" s="30"/>
      <c r="O541" s="30"/>
    </row>
    <row r="542" spans="1:15" ht="18">
      <c r="A542" s="28"/>
      <c r="B542" s="71" t="s">
        <v>650</v>
      </c>
      <c r="C542" s="28"/>
      <c r="D542" s="28"/>
      <c r="E542" s="96" t="s">
        <v>615</v>
      </c>
      <c r="F542" s="73" t="s">
        <v>67</v>
      </c>
      <c r="G542" s="95">
        <f>-G536*0.66*G540*EXP(9.1*G541)*POWER((G538+G537)/1000,0.75*(1-G541))*0.00001+G535</f>
        <v>-17.055013083038808</v>
      </c>
      <c r="H542" s="71" t="s">
        <v>69</v>
      </c>
      <c r="I542" s="28"/>
      <c r="J542" s="28"/>
      <c r="K542" s="28"/>
      <c r="L542" s="28"/>
      <c r="M542" s="30"/>
      <c r="N542" s="30"/>
      <c r="O542" s="30"/>
    </row>
    <row r="543" spans="1:15" ht="16.5">
      <c r="A543" s="28"/>
      <c r="B543" s="28"/>
      <c r="C543" s="28"/>
      <c r="D543" s="28"/>
      <c r="E543" s="48"/>
      <c r="F543" s="34"/>
      <c r="G543" s="37"/>
      <c r="H543" s="28"/>
      <c r="I543" s="28"/>
      <c r="J543" s="28"/>
      <c r="K543" s="28"/>
      <c r="L543" s="28"/>
      <c r="M543" s="30"/>
      <c r="N543" s="30"/>
      <c r="O543" s="30"/>
    </row>
    <row r="544" spans="1:15" ht="16.5">
      <c r="A544" s="71" t="s">
        <v>621</v>
      </c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30"/>
      <c r="N544" s="30"/>
      <c r="O544" s="30"/>
    </row>
    <row r="545" spans="1:15" ht="16.5">
      <c r="A545" s="28"/>
      <c r="B545" s="27" t="s">
        <v>586</v>
      </c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30"/>
      <c r="N545" s="30"/>
      <c r="O545" s="30"/>
    </row>
    <row r="546" spans="1:15" ht="18">
      <c r="A546" s="28"/>
      <c r="B546" s="71" t="s">
        <v>641</v>
      </c>
      <c r="C546" s="28"/>
      <c r="D546" s="28"/>
      <c r="E546" s="96" t="s">
        <v>622</v>
      </c>
      <c r="F546" s="73" t="s">
        <v>67</v>
      </c>
      <c r="G546" s="95">
        <f>G482</f>
        <v>-58.690502487496509</v>
      </c>
      <c r="H546" s="71" t="s">
        <v>69</v>
      </c>
      <c r="I546" s="28"/>
      <c r="J546" s="28"/>
      <c r="K546" s="28"/>
      <c r="L546" s="28"/>
      <c r="M546" s="30"/>
      <c r="N546" s="30"/>
      <c r="O546" s="30"/>
    </row>
    <row r="547" spans="1:15" ht="7.5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30"/>
      <c r="N547" s="30"/>
      <c r="O547" s="30"/>
    </row>
    <row r="548" spans="1:15" ht="16.5">
      <c r="A548" s="71" t="s">
        <v>635</v>
      </c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30"/>
      <c r="N548" s="30"/>
      <c r="O548" s="30"/>
    </row>
    <row r="549" spans="1:15" ht="7.5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30"/>
      <c r="N549" s="30"/>
      <c r="O549" s="30"/>
    </row>
    <row r="550" spans="1:15" ht="16.5">
      <c r="A550" s="71"/>
      <c r="B550" s="51" t="s">
        <v>624</v>
      </c>
      <c r="C550" s="28"/>
      <c r="D550" s="28"/>
      <c r="E550" s="28"/>
      <c r="F550" s="28"/>
      <c r="G550" s="28"/>
      <c r="H550" s="28"/>
      <c r="I550" s="27" t="s">
        <v>652</v>
      </c>
      <c r="J550" s="28"/>
      <c r="K550" s="28"/>
      <c r="L550" s="28"/>
      <c r="M550" s="30"/>
      <c r="N550" s="30"/>
      <c r="O550" s="30"/>
    </row>
    <row r="551" spans="1:15" ht="18.75">
      <c r="A551" s="71"/>
      <c r="B551" s="51"/>
      <c r="C551" s="28" t="s">
        <v>631</v>
      </c>
      <c r="D551" s="28"/>
      <c r="E551" s="33" t="s">
        <v>649</v>
      </c>
      <c r="F551" s="34" t="s">
        <v>67</v>
      </c>
      <c r="G551" s="47">
        <f>$G$529</f>
        <v>49.234005863570331</v>
      </c>
      <c r="H551" s="28" t="s">
        <v>279</v>
      </c>
      <c r="I551" s="49" t="s">
        <v>633</v>
      </c>
      <c r="J551" s="28"/>
      <c r="K551" s="28"/>
      <c r="L551" s="28"/>
      <c r="M551" s="30"/>
      <c r="N551" s="30"/>
      <c r="O551" s="30"/>
    </row>
    <row r="552" spans="1:15" ht="17.25" customHeight="1">
      <c r="A552" s="71"/>
      <c r="B552" s="51"/>
      <c r="C552" s="28" t="s">
        <v>520</v>
      </c>
      <c r="D552" s="28"/>
      <c r="E552" s="33" t="s">
        <v>895</v>
      </c>
      <c r="F552" s="34" t="s">
        <v>67</v>
      </c>
      <c r="G552" s="47">
        <f>G382+G531</f>
        <v>1361.8539730122552</v>
      </c>
      <c r="H552" s="28" t="s">
        <v>119</v>
      </c>
      <c r="I552" s="244" t="s">
        <v>523</v>
      </c>
      <c r="J552" s="244"/>
      <c r="K552" s="244"/>
      <c r="L552" s="244"/>
      <c r="M552" s="30"/>
      <c r="N552" s="30"/>
      <c r="O552" s="30"/>
    </row>
    <row r="553" spans="1:15" ht="17.25" customHeight="1">
      <c r="A553" s="71"/>
      <c r="B553" s="51"/>
      <c r="C553" s="28" t="s">
        <v>524</v>
      </c>
      <c r="D553" s="28"/>
      <c r="E553" s="33" t="s">
        <v>896</v>
      </c>
      <c r="F553" s="34" t="s">
        <v>67</v>
      </c>
      <c r="G553" s="47">
        <f>G557*G552</f>
        <v>172.77455247556986</v>
      </c>
      <c r="H553" s="28" t="s">
        <v>279</v>
      </c>
      <c r="I553" s="244"/>
      <c r="J553" s="244"/>
      <c r="K553" s="244"/>
      <c r="L553" s="244"/>
      <c r="M553" s="30"/>
      <c r="N553" s="30"/>
      <c r="O553" s="30"/>
    </row>
    <row r="554" spans="1:15" ht="18.75">
      <c r="A554" s="71"/>
      <c r="B554" s="28" t="s">
        <v>577</v>
      </c>
      <c r="C554" s="28"/>
      <c r="D554" s="28"/>
      <c r="E554" s="33" t="s">
        <v>124</v>
      </c>
      <c r="F554" s="34" t="s">
        <v>67</v>
      </c>
      <c r="G554" s="37">
        <f>$G$74</f>
        <v>1365</v>
      </c>
      <c r="H554" s="28" t="s">
        <v>99</v>
      </c>
      <c r="I554" s="144"/>
      <c r="J554" s="144"/>
      <c r="K554" s="144"/>
      <c r="L554" s="144"/>
      <c r="M554" s="30"/>
      <c r="N554" s="30"/>
      <c r="O554" s="30"/>
    </row>
    <row r="555" spans="1:15" ht="18.75">
      <c r="A555" s="71"/>
      <c r="B555" s="28" t="s">
        <v>155</v>
      </c>
      <c r="C555" s="45"/>
      <c r="D555" s="45"/>
      <c r="E555" s="33" t="s">
        <v>156</v>
      </c>
      <c r="F555" s="34" t="s">
        <v>67</v>
      </c>
      <c r="G555" s="34">
        <f>$G$70</f>
        <v>0.20374</v>
      </c>
      <c r="H555" s="28" t="s">
        <v>127</v>
      </c>
      <c r="I555" s="144"/>
      <c r="J555" s="144"/>
      <c r="K555" s="144"/>
      <c r="L555" s="144"/>
      <c r="M555" s="30"/>
      <c r="N555" s="30"/>
      <c r="O555" s="30"/>
    </row>
    <row r="556" spans="1:15" ht="18.75">
      <c r="A556" s="28"/>
      <c r="B556" s="28" t="s">
        <v>526</v>
      </c>
      <c r="C556" s="45"/>
      <c r="D556" s="45"/>
      <c r="E556" s="33" t="s">
        <v>190</v>
      </c>
      <c r="F556" s="34" t="s">
        <v>67</v>
      </c>
      <c r="G556" s="77">
        <f>$G$72</f>
        <v>4.2814000000000003E-3</v>
      </c>
      <c r="H556" s="28" t="s">
        <v>130</v>
      </c>
      <c r="I556" s="28"/>
      <c r="J556" s="28"/>
      <c r="K556" s="28"/>
      <c r="L556" s="28"/>
      <c r="M556" s="30"/>
      <c r="N556" s="30"/>
      <c r="O556" s="30"/>
    </row>
    <row r="557" spans="1:15" ht="18">
      <c r="A557" s="28"/>
      <c r="B557" s="28" t="s">
        <v>203</v>
      </c>
      <c r="C557" s="45"/>
      <c r="D557" s="45"/>
      <c r="E557" s="33" t="s">
        <v>204</v>
      </c>
      <c r="F557" s="34" t="s">
        <v>67</v>
      </c>
      <c r="G557" s="85">
        <f>G76</f>
        <v>0.1268671648351648</v>
      </c>
      <c r="H557" s="28" t="s">
        <v>98</v>
      </c>
      <c r="I557" s="28"/>
      <c r="J557" s="28"/>
      <c r="K557" s="28"/>
      <c r="L557" s="28"/>
      <c r="M557" s="30"/>
      <c r="N557" s="30"/>
      <c r="O557" s="30"/>
    </row>
    <row r="558" spans="1:15" ht="18.75">
      <c r="A558" s="28"/>
      <c r="B558" s="28" t="s">
        <v>893</v>
      </c>
      <c r="C558" s="28"/>
      <c r="D558" s="28"/>
      <c r="E558" s="48" t="s">
        <v>894</v>
      </c>
      <c r="F558" s="34" t="s">
        <v>67</v>
      </c>
      <c r="G558" s="85">
        <f>-G552*0.001/G555-G553*0.001*G557/G556+G551*0.001*G557/G556</f>
        <v>-10.345048196287046</v>
      </c>
      <c r="H558" s="28" t="s">
        <v>69</v>
      </c>
      <c r="I558" s="28"/>
      <c r="J558" s="28"/>
      <c r="K558" s="28"/>
      <c r="L558" s="28"/>
      <c r="M558" s="30"/>
      <c r="N558" s="30"/>
      <c r="O558" s="30"/>
    </row>
    <row r="559" spans="1:15" ht="18">
      <c r="A559" s="28"/>
      <c r="B559" s="51" t="s">
        <v>538</v>
      </c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30"/>
      <c r="N559" s="30"/>
      <c r="O559" s="30"/>
    </row>
    <row r="560" spans="1:15" ht="16.5">
      <c r="A560" s="28"/>
      <c r="B560" s="28" t="s">
        <v>529</v>
      </c>
      <c r="C560" s="28"/>
      <c r="D560" s="28"/>
      <c r="E560" s="33" t="s">
        <v>572</v>
      </c>
      <c r="F560" s="34" t="s">
        <v>67</v>
      </c>
      <c r="G560" s="85">
        <f>G512</f>
        <v>1.4983935366104679</v>
      </c>
      <c r="H560" s="28" t="s">
        <v>199</v>
      </c>
      <c r="I560" s="156" t="s">
        <v>946</v>
      </c>
      <c r="J560" s="28"/>
      <c r="K560" s="28"/>
      <c r="L560" s="28"/>
      <c r="M560" s="30"/>
      <c r="N560" s="30"/>
      <c r="O560" s="30"/>
    </row>
    <row r="561" spans="1:15" ht="7.5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30"/>
      <c r="N561" s="30"/>
      <c r="O561" s="30"/>
    </row>
    <row r="562" spans="1:15" ht="18">
      <c r="A562" s="28"/>
      <c r="B562" s="71" t="s">
        <v>640</v>
      </c>
      <c r="C562" s="28"/>
      <c r="D562" s="28"/>
      <c r="E562" s="96" t="s">
        <v>636</v>
      </c>
      <c r="F562" s="73" t="s">
        <v>67</v>
      </c>
      <c r="G562" s="95">
        <f>$G$57/$G$44*G560*G558</f>
        <v>-93.292774811168414</v>
      </c>
      <c r="H562" s="71" t="s">
        <v>69</v>
      </c>
      <c r="I562" s="84" t="s">
        <v>637</v>
      </c>
      <c r="J562" s="28"/>
      <c r="K562" s="28"/>
      <c r="L562" s="28"/>
      <c r="M562" s="30"/>
      <c r="N562" s="30"/>
      <c r="O562" s="30"/>
    </row>
    <row r="563" spans="1:15" ht="7.5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30"/>
      <c r="N563" s="30"/>
      <c r="O563" s="30"/>
    </row>
    <row r="564" spans="1:15" ht="16.5">
      <c r="A564" s="71" t="s">
        <v>638</v>
      </c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30"/>
      <c r="N564" s="30"/>
      <c r="O564" s="30"/>
    </row>
    <row r="565" spans="1:15" ht="18">
      <c r="A565" s="28"/>
      <c r="B565" s="71" t="s">
        <v>639</v>
      </c>
      <c r="C565" s="28"/>
      <c r="D565" s="28"/>
      <c r="E565" s="96" t="s">
        <v>644</v>
      </c>
      <c r="F565" s="73" t="s">
        <v>67</v>
      </c>
      <c r="G565" s="95">
        <f>(G546+0.8*G542+G562)/(1+G57/G44*G554*0.000001/G555*(1+G555/G556*G557*G557)*(1+0.8*G560))</f>
        <v>-143.20649311641981</v>
      </c>
      <c r="H565" s="71" t="s">
        <v>69</v>
      </c>
      <c r="I565" s="28"/>
      <c r="J565" s="28"/>
      <c r="K565" s="28"/>
      <c r="L565" s="28"/>
      <c r="M565" s="30"/>
      <c r="N565" s="30"/>
      <c r="O565" s="30"/>
    </row>
    <row r="566" spans="1:15" ht="16.5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30"/>
      <c r="N566" s="30"/>
      <c r="O566" s="30"/>
    </row>
    <row r="567" spans="1:15" ht="16.5">
      <c r="A567" s="71" t="s">
        <v>643</v>
      </c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30"/>
      <c r="N567" s="30"/>
      <c r="O567" s="30"/>
    </row>
    <row r="568" spans="1:15" ht="18">
      <c r="A568" s="28"/>
      <c r="B568" s="28" t="s">
        <v>579</v>
      </c>
      <c r="C568" s="28"/>
      <c r="D568" s="28"/>
      <c r="E568" s="96" t="s">
        <v>642</v>
      </c>
      <c r="F568" s="73" t="s">
        <v>67</v>
      </c>
      <c r="G568" s="95">
        <v>0</v>
      </c>
      <c r="H568" s="71" t="s">
        <v>69</v>
      </c>
      <c r="I568" s="28"/>
      <c r="J568" s="28"/>
      <c r="K568" s="28"/>
      <c r="L568" s="28"/>
      <c r="M568" s="30"/>
      <c r="N568" s="30"/>
      <c r="O568" s="30"/>
    </row>
    <row r="569" spans="1:15" ht="7.5" customHeight="1" thickBo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30"/>
      <c r="N569" s="30"/>
      <c r="O569" s="30"/>
    </row>
    <row r="570" spans="1:15" ht="19.5">
      <c r="A570" s="28"/>
      <c r="B570" s="54" t="s">
        <v>955</v>
      </c>
      <c r="C570" s="55"/>
      <c r="D570" s="55"/>
      <c r="E570" s="147" t="s">
        <v>959</v>
      </c>
      <c r="F570" s="148" t="s">
        <v>67</v>
      </c>
      <c r="G570" s="157">
        <f>G380+G565+G568</f>
        <v>851.71863181429342</v>
      </c>
      <c r="H570" s="58" t="s">
        <v>69</v>
      </c>
      <c r="I570" s="59"/>
      <c r="J570" s="59"/>
      <c r="K570" s="59"/>
      <c r="L570" s="121"/>
      <c r="M570" s="30"/>
      <c r="N570" s="30"/>
      <c r="O570" s="30"/>
    </row>
    <row r="571" spans="1:15" ht="16.5">
      <c r="A571" s="28"/>
      <c r="B571" s="122" t="s">
        <v>956</v>
      </c>
      <c r="C571" s="62"/>
      <c r="D571" s="62"/>
      <c r="E571" s="107"/>
      <c r="F571" s="107"/>
      <c r="G571" s="107"/>
      <c r="H571" s="107"/>
      <c r="I571" s="107"/>
      <c r="J571" s="107"/>
      <c r="K571" s="107"/>
      <c r="L571" s="112"/>
      <c r="M571" s="30"/>
      <c r="N571" s="30"/>
      <c r="O571" s="30"/>
    </row>
    <row r="572" spans="1:15" ht="19.5" thickBot="1">
      <c r="A572" s="28"/>
      <c r="B572" s="150"/>
      <c r="C572" s="151"/>
      <c r="D572" s="151"/>
      <c r="E572" s="153" t="s">
        <v>960</v>
      </c>
      <c r="F572" s="69" t="s">
        <v>67</v>
      </c>
      <c r="G572" s="69">
        <f>G570*G554*0.001</f>
        <v>1162.5959324265107</v>
      </c>
      <c r="H572" s="132" t="s">
        <v>119</v>
      </c>
      <c r="I572" s="134" t="s">
        <v>961</v>
      </c>
      <c r="J572" s="68"/>
      <c r="K572" s="68"/>
      <c r="L572" s="155"/>
      <c r="M572" s="30"/>
      <c r="N572" s="30"/>
      <c r="O572" s="30"/>
    </row>
    <row r="573" spans="1:15" ht="7.5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30"/>
      <c r="N573" s="30"/>
      <c r="O573" s="30"/>
    </row>
    <row r="574" spans="1:15" ht="19.5" thickBot="1">
      <c r="A574" s="115" t="s">
        <v>958</v>
      </c>
      <c r="B574" s="139"/>
      <c r="C574" s="139"/>
      <c r="D574" s="139"/>
      <c r="E574" s="139"/>
      <c r="F574" s="139"/>
      <c r="G574" s="139"/>
      <c r="H574" s="139"/>
      <c r="I574" s="139"/>
      <c r="J574" s="139"/>
      <c r="K574" s="139"/>
      <c r="L574" s="139"/>
      <c r="M574" s="30"/>
      <c r="N574" s="30"/>
      <c r="O574" s="30"/>
    </row>
    <row r="575" spans="1:15" ht="17.25" thickTop="1">
      <c r="A575" s="27" t="s">
        <v>926</v>
      </c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30"/>
      <c r="N575" s="30"/>
      <c r="O575" s="30"/>
    </row>
    <row r="576" spans="1:15" ht="16.5">
      <c r="A576" s="27" t="s">
        <v>377</v>
      </c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30"/>
      <c r="N576" s="30"/>
      <c r="O576" s="30"/>
    </row>
    <row r="577" spans="1:15" ht="7.5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30"/>
      <c r="N577" s="30"/>
      <c r="O577" s="30"/>
    </row>
    <row r="578" spans="1:15" ht="16.5">
      <c r="A578" s="28" t="s">
        <v>685</v>
      </c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30"/>
      <c r="N578" s="30"/>
      <c r="O578" s="30"/>
    </row>
    <row r="579" spans="1:15" ht="18">
      <c r="A579" s="28"/>
      <c r="B579" s="28" t="s">
        <v>686</v>
      </c>
      <c r="C579" s="28"/>
      <c r="D579" s="28"/>
      <c r="E579" s="33" t="s">
        <v>688</v>
      </c>
      <c r="F579" s="34" t="s">
        <v>67</v>
      </c>
      <c r="G579" s="47">
        <f>1/8*(1-G439)*G437*POWER(G15,2)</f>
        <v>55.447000000000003</v>
      </c>
      <c r="H579" s="28" t="s">
        <v>279</v>
      </c>
      <c r="I579" s="49" t="s">
        <v>690</v>
      </c>
      <c r="J579" s="28"/>
      <c r="K579" s="28"/>
      <c r="L579" s="28"/>
      <c r="M579" s="30"/>
      <c r="N579" s="30"/>
      <c r="O579" s="30"/>
    </row>
    <row r="580" spans="1:15" ht="18">
      <c r="A580" s="28"/>
      <c r="B580" s="28" t="s">
        <v>687</v>
      </c>
      <c r="C580" s="28"/>
      <c r="D580" s="28"/>
      <c r="E580" s="33" t="s">
        <v>689</v>
      </c>
      <c r="F580" s="34" t="s">
        <v>67</v>
      </c>
      <c r="G580" s="47">
        <f>1/2*(1-G439)*G437*G15*G125*0.001-1/2*(1-G439)*G437*POWER(G125*0.001,2)</f>
        <v>8.959200391109178</v>
      </c>
      <c r="H580" s="28" t="s">
        <v>279</v>
      </c>
      <c r="I580" s="28"/>
      <c r="J580" s="28"/>
      <c r="K580" s="28"/>
      <c r="L580" s="28"/>
      <c r="M580" s="30"/>
      <c r="N580" s="30"/>
      <c r="O580" s="30"/>
    </row>
    <row r="581" spans="1:15" ht="18">
      <c r="A581" s="28"/>
      <c r="B581" s="28" t="s">
        <v>691</v>
      </c>
      <c r="C581" s="28"/>
      <c r="D581" s="28"/>
      <c r="E581" s="48" t="s">
        <v>693</v>
      </c>
      <c r="F581" s="34" t="s">
        <v>67</v>
      </c>
      <c r="G581" s="47">
        <f>G579*0.001/$G$84*$G$81*$G$57/$G$44</f>
        <v>9.2311945066043375</v>
      </c>
      <c r="H581" s="28" t="s">
        <v>69</v>
      </c>
      <c r="I581" s="28"/>
      <c r="J581" s="28"/>
      <c r="K581" s="28"/>
      <c r="L581" s="28"/>
      <c r="M581" s="30"/>
      <c r="N581" s="30"/>
      <c r="O581" s="30"/>
    </row>
    <row r="582" spans="1:15" ht="18">
      <c r="A582" s="28"/>
      <c r="B582" s="28" t="s">
        <v>692</v>
      </c>
      <c r="C582" s="28"/>
      <c r="D582" s="28"/>
      <c r="E582" s="48" t="s">
        <v>694</v>
      </c>
      <c r="F582" s="34" t="s">
        <v>67</v>
      </c>
      <c r="G582" s="47">
        <f>G580*0.001/$G$84*$G$81*$G$57/$G$44</f>
        <v>1.4915887502294891</v>
      </c>
      <c r="H582" s="28" t="s">
        <v>69</v>
      </c>
      <c r="I582" s="28"/>
      <c r="J582" s="28"/>
      <c r="K582" s="28"/>
      <c r="L582" s="28"/>
      <c r="M582" s="30"/>
      <c r="N582" s="30"/>
      <c r="O582" s="30"/>
    </row>
    <row r="583" spans="1:15" ht="7.5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30"/>
      <c r="N583" s="30"/>
      <c r="O583" s="30"/>
    </row>
    <row r="584" spans="1:15" ht="18.75">
      <c r="A584" s="28" t="s">
        <v>696</v>
      </c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30"/>
      <c r="N584" s="30"/>
      <c r="O584" s="30"/>
    </row>
    <row r="585" spans="1:15" ht="18">
      <c r="A585" s="28"/>
      <c r="B585" s="86" t="s">
        <v>695</v>
      </c>
      <c r="C585" s="28"/>
      <c r="D585" s="28"/>
      <c r="E585" s="48" t="s">
        <v>420</v>
      </c>
      <c r="F585" s="34" t="s">
        <v>67</v>
      </c>
      <c r="G585" s="37">
        <f>G214+G331+G334+G517+G520</f>
        <v>1002.9242038032459</v>
      </c>
      <c r="H585" s="28" t="s">
        <v>69</v>
      </c>
      <c r="I585" s="28"/>
      <c r="J585" s="28"/>
      <c r="K585" s="28"/>
      <c r="L585" s="28"/>
      <c r="M585" s="30"/>
      <c r="N585" s="30"/>
      <c r="O585" s="30"/>
    </row>
    <row r="586" spans="1:15" ht="18">
      <c r="A586" s="28"/>
      <c r="B586" s="86" t="s">
        <v>419</v>
      </c>
      <c r="C586" s="28"/>
      <c r="D586" s="28"/>
      <c r="E586" s="48" t="s">
        <v>421</v>
      </c>
      <c r="F586" s="34" t="s">
        <v>67</v>
      </c>
      <c r="G586" s="37">
        <f>G215+G375+G378+G565+G568</f>
        <v>928.00594104552943</v>
      </c>
      <c r="H586" s="28" t="s">
        <v>69</v>
      </c>
      <c r="I586" s="28"/>
      <c r="J586" s="28"/>
      <c r="K586" s="28"/>
      <c r="L586" s="28"/>
      <c r="M586" s="30"/>
      <c r="N586" s="30"/>
      <c r="O586" s="30"/>
    </row>
    <row r="587" spans="1:15" ht="18">
      <c r="A587" s="28"/>
      <c r="B587" s="28"/>
      <c r="C587" s="28"/>
      <c r="D587" s="28"/>
      <c r="E587" s="33" t="s">
        <v>392</v>
      </c>
      <c r="F587" s="34" t="s">
        <v>67</v>
      </c>
      <c r="G587" s="34">
        <f>G216</f>
        <v>1.05</v>
      </c>
      <c r="H587" s="28" t="s">
        <v>199</v>
      </c>
      <c r="I587" s="28"/>
      <c r="J587" s="28"/>
      <c r="K587" s="28"/>
      <c r="L587" s="46" t="s">
        <v>393</v>
      </c>
      <c r="M587" s="30"/>
      <c r="N587" s="30"/>
      <c r="O587" s="30"/>
    </row>
    <row r="588" spans="1:15" ht="18">
      <c r="A588" s="28"/>
      <c r="B588" s="28"/>
      <c r="C588" s="28"/>
      <c r="D588" s="28"/>
      <c r="E588" s="33" t="s">
        <v>394</v>
      </c>
      <c r="F588" s="34" t="s">
        <v>67</v>
      </c>
      <c r="G588" s="34">
        <f>G217</f>
        <v>0.95</v>
      </c>
      <c r="H588" s="28" t="s">
        <v>199</v>
      </c>
      <c r="I588" s="28"/>
      <c r="J588" s="28"/>
      <c r="K588" s="28"/>
      <c r="L588" s="46" t="s">
        <v>393</v>
      </c>
      <c r="M588" s="30"/>
      <c r="N588" s="30"/>
      <c r="O588" s="30"/>
    </row>
    <row r="589" spans="1:15" ht="18.75">
      <c r="A589" s="28"/>
      <c r="B589" s="28" t="s">
        <v>380</v>
      </c>
      <c r="C589" s="28"/>
      <c r="D589" s="28"/>
      <c r="E589" s="33" t="s">
        <v>822</v>
      </c>
      <c r="F589" s="34" t="s">
        <v>67</v>
      </c>
      <c r="G589" s="34">
        <f>G587*$G$585*$G$74*0.001</f>
        <v>1437.4411151010022</v>
      </c>
      <c r="H589" s="28" t="s">
        <v>119</v>
      </c>
      <c r="I589" s="49" t="s">
        <v>384</v>
      </c>
      <c r="J589" s="28"/>
      <c r="K589" s="28"/>
      <c r="L589" s="46" t="s">
        <v>378</v>
      </c>
      <c r="M589" s="30"/>
      <c r="N589" s="30"/>
      <c r="O589" s="30"/>
    </row>
    <row r="590" spans="1:15" ht="18.75">
      <c r="A590" s="28"/>
      <c r="B590" s="28" t="s">
        <v>381</v>
      </c>
      <c r="C590" s="28"/>
      <c r="D590" s="28"/>
      <c r="E590" s="33" t="s">
        <v>710</v>
      </c>
      <c r="F590" s="34" t="s">
        <v>67</v>
      </c>
      <c r="G590" s="34">
        <f>G588*$G$585*$G$74*0.001</f>
        <v>1300.5419612818589</v>
      </c>
      <c r="H590" s="28" t="s">
        <v>119</v>
      </c>
      <c r="I590" s="49" t="s">
        <v>385</v>
      </c>
      <c r="J590" s="28"/>
      <c r="K590" s="28"/>
      <c r="L590" s="46" t="s">
        <v>379</v>
      </c>
      <c r="M590" s="30"/>
      <c r="N590" s="30"/>
      <c r="O590" s="30"/>
    </row>
    <row r="591" spans="1:15" ht="18.75">
      <c r="A591" s="28"/>
      <c r="B591" s="28" t="s">
        <v>386</v>
      </c>
      <c r="C591" s="28"/>
      <c r="D591" s="28"/>
      <c r="E591" s="33" t="s">
        <v>721</v>
      </c>
      <c r="F591" s="34" t="s">
        <v>67</v>
      </c>
      <c r="G591" s="34">
        <f>G587*$G$586*$G$74*0.001</f>
        <v>1330.0645150035052</v>
      </c>
      <c r="H591" s="28" t="s">
        <v>119</v>
      </c>
      <c r="I591" s="49" t="s">
        <v>390</v>
      </c>
      <c r="J591" s="28"/>
      <c r="K591" s="28"/>
      <c r="L591" s="46" t="s">
        <v>378</v>
      </c>
      <c r="M591" s="30"/>
      <c r="N591" s="30"/>
      <c r="O591" s="30"/>
    </row>
    <row r="592" spans="1:15" ht="18.75">
      <c r="A592" s="28"/>
      <c r="B592" s="28" t="s">
        <v>387</v>
      </c>
      <c r="C592" s="28"/>
      <c r="D592" s="28"/>
      <c r="E592" s="33" t="s">
        <v>823</v>
      </c>
      <c r="F592" s="34" t="s">
        <v>67</v>
      </c>
      <c r="G592" s="34">
        <f>G588*$G$586*$G$74*0.001</f>
        <v>1203.3917040507904</v>
      </c>
      <c r="H592" s="28" t="s">
        <v>119</v>
      </c>
      <c r="I592" s="49" t="s">
        <v>391</v>
      </c>
      <c r="J592" s="28"/>
      <c r="K592" s="28"/>
      <c r="L592" s="46" t="s">
        <v>379</v>
      </c>
      <c r="M592" s="30"/>
      <c r="N592" s="30"/>
      <c r="O592" s="30"/>
    </row>
    <row r="593" spans="1:15" ht="7.5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30"/>
      <c r="N593" s="30"/>
      <c r="O593" s="30"/>
    </row>
    <row r="594" spans="1:15" ht="18.75">
      <c r="A594" s="28"/>
      <c r="B594" s="28" t="s">
        <v>697</v>
      </c>
      <c r="C594" s="28"/>
      <c r="D594" s="28"/>
      <c r="E594" s="48" t="s">
        <v>699</v>
      </c>
      <c r="F594" s="34" t="s">
        <v>67</v>
      </c>
      <c r="G594" s="47">
        <f>G41</f>
        <v>3.8</v>
      </c>
      <c r="H594" s="28" t="s">
        <v>69</v>
      </c>
      <c r="I594" s="28"/>
      <c r="J594" s="28"/>
      <c r="K594" s="28"/>
      <c r="L594" s="28"/>
      <c r="M594" s="30"/>
      <c r="N594" s="30"/>
      <c r="O594" s="30"/>
    </row>
    <row r="595" spans="1:15" ht="18.75">
      <c r="A595" s="28"/>
      <c r="B595" s="28" t="s">
        <v>698</v>
      </c>
      <c r="C595" s="28"/>
      <c r="D595" s="28"/>
      <c r="E595" s="48" t="s">
        <v>700</v>
      </c>
      <c r="F595" s="34" t="s">
        <v>67</v>
      </c>
      <c r="G595" s="47">
        <f>G42</f>
        <v>45</v>
      </c>
      <c r="H595" s="28" t="s">
        <v>69</v>
      </c>
      <c r="I595" s="28"/>
      <c r="J595" s="28"/>
      <c r="K595" s="28"/>
      <c r="L595" s="28"/>
      <c r="M595" s="30"/>
      <c r="N595" s="30"/>
      <c r="O595" s="30"/>
    </row>
    <row r="596" spans="1:15" ht="7.5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30"/>
      <c r="N596" s="30"/>
      <c r="O596" s="30"/>
    </row>
    <row r="597" spans="1:15" ht="16.5">
      <c r="A597" s="31" t="s">
        <v>701</v>
      </c>
      <c r="B597" s="32"/>
      <c r="C597" s="32"/>
      <c r="D597" s="32"/>
      <c r="E597" s="32"/>
      <c r="F597" s="32"/>
      <c r="G597" s="32"/>
      <c r="H597" s="32"/>
      <c r="I597" s="28"/>
      <c r="J597" s="28"/>
      <c r="K597" s="28"/>
      <c r="L597" s="28"/>
      <c r="M597" s="30"/>
      <c r="N597" s="30"/>
      <c r="O597" s="30"/>
    </row>
    <row r="598" spans="1:15" ht="16.5">
      <c r="A598" s="28"/>
      <c r="B598" s="28" t="s">
        <v>366</v>
      </c>
      <c r="C598" s="28"/>
      <c r="D598" s="28"/>
      <c r="E598" s="33" t="s">
        <v>411</v>
      </c>
      <c r="F598" s="34" t="s">
        <v>67</v>
      </c>
      <c r="G598" s="47">
        <f>$G$15/2</f>
        <v>8.9</v>
      </c>
      <c r="H598" s="28" t="s">
        <v>98</v>
      </c>
      <c r="I598" s="28"/>
      <c r="J598" s="28"/>
      <c r="K598" s="28"/>
      <c r="L598" s="28"/>
      <c r="M598" s="30"/>
      <c r="N598" s="30"/>
      <c r="O598" s="30"/>
    </row>
    <row r="599" spans="1:15" ht="18">
      <c r="A599" s="28"/>
      <c r="B599" s="28" t="s">
        <v>702</v>
      </c>
      <c r="C599" s="28"/>
      <c r="D599" s="28"/>
      <c r="E599" s="33" t="s">
        <v>703</v>
      </c>
      <c r="F599" s="34" t="s">
        <v>67</v>
      </c>
      <c r="G599" s="47">
        <f>G441</f>
        <v>360.14806749999997</v>
      </c>
      <c r="H599" s="28" t="s">
        <v>279</v>
      </c>
      <c r="I599" s="28"/>
      <c r="J599" s="28"/>
      <c r="K599" s="28"/>
      <c r="L599" s="28"/>
      <c r="M599" s="30"/>
      <c r="N599" s="30"/>
      <c r="O599" s="30"/>
    </row>
    <row r="600" spans="1:15" ht="18">
      <c r="A600" s="28"/>
      <c r="B600" s="28" t="s">
        <v>371</v>
      </c>
      <c r="C600" s="28"/>
      <c r="D600" s="28"/>
      <c r="E600" s="33" t="s">
        <v>209</v>
      </c>
      <c r="F600" s="34" t="s">
        <v>67</v>
      </c>
      <c r="G600" s="85">
        <f>$G$81</f>
        <v>0.12194985864242761</v>
      </c>
      <c r="H600" s="28" t="s">
        <v>98</v>
      </c>
      <c r="I600" s="28"/>
      <c r="J600" s="28"/>
      <c r="K600" s="28"/>
      <c r="L600" s="28"/>
      <c r="M600" s="30"/>
      <c r="N600" s="30"/>
      <c r="O600" s="30"/>
    </row>
    <row r="601" spans="1:15" ht="18.75">
      <c r="A601" s="28"/>
      <c r="B601" s="28" t="s">
        <v>126</v>
      </c>
      <c r="C601" s="45"/>
      <c r="D601" s="45"/>
      <c r="E601" s="33" t="s">
        <v>128</v>
      </c>
      <c r="F601" s="34" t="s">
        <v>67</v>
      </c>
      <c r="G601" s="34">
        <f>$G$79</f>
        <v>0.21195527777777778</v>
      </c>
      <c r="H601" s="28" t="s">
        <v>127</v>
      </c>
      <c r="I601" s="28"/>
      <c r="J601" s="28"/>
      <c r="K601" s="28"/>
      <c r="L601" s="28"/>
      <c r="M601" s="30"/>
      <c r="N601" s="30"/>
      <c r="O601" s="30"/>
    </row>
    <row r="602" spans="1:15" ht="18.75">
      <c r="A602" s="28"/>
      <c r="B602" s="28" t="s">
        <v>369</v>
      </c>
      <c r="C602" s="28"/>
      <c r="D602" s="28"/>
      <c r="E602" s="33" t="s">
        <v>134</v>
      </c>
      <c r="F602" s="34" t="s">
        <v>67</v>
      </c>
      <c r="G602" s="77">
        <f>$G$85</f>
        <v>2.2055158541615667E-2</v>
      </c>
      <c r="H602" s="28" t="s">
        <v>131</v>
      </c>
      <c r="I602" s="28"/>
      <c r="J602" s="28"/>
      <c r="K602" s="28"/>
      <c r="L602" s="28"/>
      <c r="M602" s="30"/>
      <c r="N602" s="30"/>
      <c r="O602" s="30"/>
    </row>
    <row r="603" spans="1:15" ht="18.75">
      <c r="A603" s="28"/>
      <c r="B603" s="28" t="s">
        <v>370</v>
      </c>
      <c r="C603" s="28"/>
      <c r="D603" s="28"/>
      <c r="E603" s="33" t="s">
        <v>135</v>
      </c>
      <c r="F603" s="34" t="s">
        <v>67</v>
      </c>
      <c r="G603" s="77">
        <f>$G$86</f>
        <v>2.2029877138688217E-2</v>
      </c>
      <c r="H603" s="28" t="s">
        <v>131</v>
      </c>
      <c r="I603" s="28"/>
      <c r="J603" s="28"/>
      <c r="K603" s="28"/>
      <c r="L603" s="28"/>
      <c r="M603" s="30"/>
      <c r="N603" s="30"/>
      <c r="O603" s="30"/>
    </row>
    <row r="604" spans="1:15" ht="18.75">
      <c r="A604" s="28"/>
      <c r="B604" s="28" t="s">
        <v>372</v>
      </c>
      <c r="C604" s="28"/>
      <c r="D604" s="28"/>
      <c r="E604" s="33" t="s">
        <v>710</v>
      </c>
      <c r="F604" s="34" t="s">
        <v>67</v>
      </c>
      <c r="G604" s="34">
        <f>G590</f>
        <v>1300.5419612818589</v>
      </c>
      <c r="H604" s="28" t="s">
        <v>119</v>
      </c>
      <c r="I604" s="28"/>
      <c r="J604" s="28"/>
      <c r="K604" s="28"/>
      <c r="L604" s="28"/>
      <c r="M604" s="30"/>
      <c r="N604" s="30"/>
      <c r="O604" s="30"/>
    </row>
    <row r="605" spans="1:15" ht="19.5" thickBot="1">
      <c r="A605" s="28"/>
      <c r="B605" s="28" t="s">
        <v>373</v>
      </c>
      <c r="C605" s="28"/>
      <c r="D605" s="28"/>
      <c r="E605" s="33" t="s">
        <v>711</v>
      </c>
      <c r="F605" s="34" t="s">
        <v>67</v>
      </c>
      <c r="G605" s="47">
        <f>G604*G600</f>
        <v>158.60090833686826</v>
      </c>
      <c r="H605" s="28" t="s">
        <v>279</v>
      </c>
      <c r="I605" s="28"/>
      <c r="J605" s="28"/>
      <c r="K605" s="28"/>
      <c r="L605" s="28"/>
      <c r="M605" s="30"/>
      <c r="N605" s="30"/>
      <c r="O605" s="30"/>
    </row>
    <row r="606" spans="1:15" ht="18">
      <c r="A606" s="28"/>
      <c r="B606" s="54" t="s">
        <v>375</v>
      </c>
      <c r="C606" s="59"/>
      <c r="D606" s="59"/>
      <c r="E606" s="158" t="s">
        <v>708</v>
      </c>
      <c r="F606" s="118" t="s">
        <v>67</v>
      </c>
      <c r="G606" s="119">
        <f>-G604*0.001/G601+G605*0.001/G602-G599*0.001/G602</f>
        <v>-15.274249135840142</v>
      </c>
      <c r="H606" s="120" t="s">
        <v>69</v>
      </c>
      <c r="I606" s="59"/>
      <c r="J606" s="59"/>
      <c r="K606" s="59"/>
      <c r="L606" s="121"/>
      <c r="M606" s="30"/>
      <c r="N606" s="30"/>
      <c r="O606" s="30"/>
    </row>
    <row r="607" spans="1:15" ht="18">
      <c r="A607" s="28"/>
      <c r="B607" s="122" t="s">
        <v>376</v>
      </c>
      <c r="C607" s="62"/>
      <c r="D607" s="62"/>
      <c r="E607" s="159" t="s">
        <v>709</v>
      </c>
      <c r="F607" s="124" t="s">
        <v>67</v>
      </c>
      <c r="G607" s="125">
        <f>-G604*0.001/G601-G605*0.001/G603+G599*0.001/G603</f>
        <v>3.0128836596863184</v>
      </c>
      <c r="H607" s="126" t="s">
        <v>69</v>
      </c>
      <c r="I607" s="62"/>
      <c r="J607" s="62"/>
      <c r="K607" s="62"/>
      <c r="L607" s="127"/>
      <c r="M607" s="30"/>
      <c r="N607" s="30"/>
      <c r="O607" s="30"/>
    </row>
    <row r="608" spans="1:15" ht="7.5" customHeight="1">
      <c r="A608" s="28"/>
      <c r="B608" s="61"/>
      <c r="C608" s="62"/>
      <c r="D608" s="62"/>
      <c r="E608" s="159"/>
      <c r="F608" s="124"/>
      <c r="G608" s="125"/>
      <c r="H608" s="126"/>
      <c r="I608" s="62"/>
      <c r="J608" s="62"/>
      <c r="K608" s="62"/>
      <c r="L608" s="127"/>
      <c r="M608" s="30"/>
      <c r="N608" s="30"/>
      <c r="O608" s="30"/>
    </row>
    <row r="609" spans="1:15" ht="18.75">
      <c r="A609" s="28"/>
      <c r="B609" s="122" t="s">
        <v>712</v>
      </c>
      <c r="C609" s="62"/>
      <c r="D609" s="62"/>
      <c r="E609" s="62"/>
      <c r="F609" s="62"/>
      <c r="G609" s="129" t="str">
        <f>IF(ABS(G606)&lt;0.45*G595,"lineární chování","nelineární chování-výpočet upravit!!!")</f>
        <v>lineární chování</v>
      </c>
      <c r="H609" s="62"/>
      <c r="I609" s="62" t="s">
        <v>404</v>
      </c>
      <c r="J609" s="160" t="s">
        <v>717</v>
      </c>
      <c r="K609" s="62"/>
      <c r="L609" s="127"/>
      <c r="M609" s="30"/>
      <c r="N609" s="30"/>
      <c r="O609" s="30"/>
    </row>
    <row r="610" spans="1:15" ht="18.75">
      <c r="A610" s="28"/>
      <c r="B610" s="122" t="s">
        <v>713</v>
      </c>
      <c r="C610" s="62"/>
      <c r="D610" s="62"/>
      <c r="E610" s="62"/>
      <c r="F610" s="62"/>
      <c r="G610" s="129" t="str">
        <f>IF(ABS(G606)&lt;0.6*G595,"nevzniknou trhliny","vzniknou trhliny!!!")</f>
        <v>nevzniknou trhliny</v>
      </c>
      <c r="H610" s="62"/>
      <c r="I610" s="62" t="s">
        <v>404</v>
      </c>
      <c r="J610" s="160" t="s">
        <v>715</v>
      </c>
      <c r="K610" s="62"/>
      <c r="L610" s="246" t="s">
        <v>406</v>
      </c>
      <c r="M610" s="30"/>
      <c r="N610" s="30"/>
      <c r="O610" s="30"/>
    </row>
    <row r="611" spans="1:15" ht="19.5" thickBot="1">
      <c r="A611" s="28"/>
      <c r="B611" s="171" t="s">
        <v>714</v>
      </c>
      <c r="C611" s="68"/>
      <c r="D611" s="68"/>
      <c r="E611" s="68"/>
      <c r="F611" s="68"/>
      <c r="G611" s="133" t="str">
        <f>IF(G607&lt;G594,"nevzniknou trhliny","vzniknou trhliny!!!")</f>
        <v>nevzniknou trhliny</v>
      </c>
      <c r="H611" s="68"/>
      <c r="I611" s="68" t="s">
        <v>404</v>
      </c>
      <c r="J611" s="161" t="s">
        <v>716</v>
      </c>
      <c r="K611" s="68"/>
      <c r="L611" s="247" t="s">
        <v>405</v>
      </c>
      <c r="M611" s="30"/>
      <c r="N611" s="30"/>
      <c r="O611" s="30"/>
    </row>
    <row r="612" spans="1:15" ht="7.5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30"/>
      <c r="N612" s="30"/>
      <c r="O612" s="30"/>
    </row>
    <row r="613" spans="1:15" ht="18">
      <c r="A613" s="31" t="s">
        <v>962</v>
      </c>
      <c r="B613" s="32"/>
      <c r="C613" s="32"/>
      <c r="D613" s="32"/>
      <c r="E613" s="136"/>
      <c r="F613" s="137"/>
      <c r="G613" s="138"/>
      <c r="H613" s="32"/>
      <c r="I613" s="28"/>
      <c r="J613" s="28"/>
      <c r="K613" s="28"/>
      <c r="L613" s="28"/>
      <c r="M613" s="30"/>
      <c r="N613" s="30"/>
      <c r="O613" s="30"/>
    </row>
    <row r="614" spans="1:15" ht="18">
      <c r="A614" s="28"/>
      <c r="B614" s="28" t="s">
        <v>366</v>
      </c>
      <c r="C614" s="28"/>
      <c r="D614" s="28"/>
      <c r="E614" s="33" t="s">
        <v>365</v>
      </c>
      <c r="F614" s="34" t="s">
        <v>67</v>
      </c>
      <c r="G614" s="47">
        <f>$G$125/1000</f>
        <v>0.75069682129720616</v>
      </c>
      <c r="H614" s="28" t="s">
        <v>98</v>
      </c>
      <c r="I614" s="28"/>
      <c r="J614" s="28"/>
      <c r="K614" s="28"/>
      <c r="L614" s="28"/>
      <c r="M614" s="30"/>
      <c r="N614" s="30"/>
      <c r="O614" s="30"/>
    </row>
    <row r="615" spans="1:15" ht="18">
      <c r="A615" s="28"/>
      <c r="B615" s="28" t="s">
        <v>368</v>
      </c>
      <c r="C615" s="28"/>
      <c r="D615" s="28"/>
      <c r="E615" s="33" t="s">
        <v>720</v>
      </c>
      <c r="F615" s="34" t="s">
        <v>67</v>
      </c>
      <c r="G615" s="47">
        <f>G442</f>
        <v>58.193206254679502</v>
      </c>
      <c r="H615" s="28" t="s">
        <v>279</v>
      </c>
      <c r="I615" s="28"/>
      <c r="J615" s="28"/>
      <c r="K615" s="28"/>
      <c r="L615" s="28"/>
      <c r="M615" s="30"/>
      <c r="N615" s="30"/>
      <c r="O615" s="30"/>
    </row>
    <row r="616" spans="1:15" ht="18">
      <c r="A616" s="28"/>
      <c r="B616" s="28" t="s">
        <v>371</v>
      </c>
      <c r="C616" s="28"/>
      <c r="D616" s="28"/>
      <c r="E616" s="33" t="s">
        <v>209</v>
      </c>
      <c r="F616" s="34" t="s">
        <v>67</v>
      </c>
      <c r="G616" s="85">
        <f>$G$81</f>
        <v>0.12194985864242761</v>
      </c>
      <c r="H616" s="28" t="s">
        <v>98</v>
      </c>
      <c r="I616" s="28"/>
      <c r="J616" s="28"/>
      <c r="K616" s="28"/>
      <c r="L616" s="28"/>
      <c r="M616" s="30"/>
      <c r="N616" s="30"/>
      <c r="O616" s="30"/>
    </row>
    <row r="617" spans="1:15" ht="18.75">
      <c r="A617" s="28"/>
      <c r="B617" s="28" t="s">
        <v>126</v>
      </c>
      <c r="C617" s="45"/>
      <c r="D617" s="45"/>
      <c r="E617" s="33" t="s">
        <v>128</v>
      </c>
      <c r="F617" s="34" t="s">
        <v>67</v>
      </c>
      <c r="G617" s="34">
        <f>$G$79</f>
        <v>0.21195527777777778</v>
      </c>
      <c r="H617" s="28" t="s">
        <v>127</v>
      </c>
      <c r="I617" s="34"/>
      <c r="J617" s="34"/>
      <c r="K617" s="28"/>
      <c r="L617" s="28"/>
      <c r="M617" s="30"/>
      <c r="N617" s="30"/>
      <c r="O617" s="30"/>
    </row>
    <row r="618" spans="1:15" ht="18.75">
      <c r="A618" s="28"/>
      <c r="B618" s="28" t="s">
        <v>369</v>
      </c>
      <c r="C618" s="28"/>
      <c r="D618" s="28"/>
      <c r="E618" s="33" t="s">
        <v>134</v>
      </c>
      <c r="F618" s="34" t="s">
        <v>67</v>
      </c>
      <c r="G618" s="77">
        <f>$G$85</f>
        <v>2.2055158541615667E-2</v>
      </c>
      <c r="H618" s="28" t="s">
        <v>131</v>
      </c>
      <c r="I618" s="28"/>
      <c r="J618" s="28"/>
      <c r="K618" s="28"/>
      <c r="L618" s="28"/>
      <c r="M618" s="30"/>
      <c r="N618" s="30"/>
      <c r="O618" s="30"/>
    </row>
    <row r="619" spans="1:15" ht="18.75">
      <c r="A619" s="28"/>
      <c r="B619" s="28" t="s">
        <v>370</v>
      </c>
      <c r="C619" s="28"/>
      <c r="D619" s="28"/>
      <c r="E619" s="33" t="s">
        <v>135</v>
      </c>
      <c r="F619" s="34" t="s">
        <v>67</v>
      </c>
      <c r="G619" s="77">
        <f>$G$86</f>
        <v>2.2029877138688217E-2</v>
      </c>
      <c r="H619" s="28" t="s">
        <v>131</v>
      </c>
      <c r="I619" s="28"/>
      <c r="J619" s="28"/>
      <c r="K619" s="28"/>
      <c r="L619" s="28"/>
      <c r="M619" s="30"/>
      <c r="N619" s="30"/>
      <c r="O619" s="30"/>
    </row>
    <row r="620" spans="1:15" ht="18.75">
      <c r="A620" s="28"/>
      <c r="B620" s="28" t="s">
        <v>372</v>
      </c>
      <c r="C620" s="28"/>
      <c r="D620" s="28"/>
      <c r="E620" s="33" t="s">
        <v>721</v>
      </c>
      <c r="F620" s="34" t="s">
        <v>67</v>
      </c>
      <c r="G620" s="34">
        <f>G591</f>
        <v>1330.0645150035052</v>
      </c>
      <c r="H620" s="28" t="s">
        <v>119</v>
      </c>
      <c r="I620" s="28"/>
      <c r="J620" s="28"/>
      <c r="K620" s="28"/>
      <c r="L620" s="28"/>
      <c r="M620" s="30"/>
      <c r="N620" s="30"/>
      <c r="O620" s="30"/>
    </row>
    <row r="621" spans="1:15" ht="19.5" thickBot="1">
      <c r="A621" s="28"/>
      <c r="B621" s="28" t="s">
        <v>373</v>
      </c>
      <c r="C621" s="28"/>
      <c r="D621" s="28"/>
      <c r="E621" s="33" t="s">
        <v>722</v>
      </c>
      <c r="F621" s="34" t="s">
        <v>67</v>
      </c>
      <c r="G621" s="47">
        <f>G620*G616</f>
        <v>162.20117958998648</v>
      </c>
      <c r="H621" s="28" t="s">
        <v>279</v>
      </c>
      <c r="I621" s="28"/>
      <c r="J621" s="28"/>
      <c r="K621" s="28"/>
      <c r="L621" s="28"/>
      <c r="M621" s="30"/>
      <c r="N621" s="30"/>
      <c r="O621" s="30"/>
    </row>
    <row r="622" spans="1:15" ht="18">
      <c r="A622" s="28"/>
      <c r="B622" s="54" t="s">
        <v>375</v>
      </c>
      <c r="C622" s="59"/>
      <c r="D622" s="59"/>
      <c r="E622" s="158" t="s">
        <v>708</v>
      </c>
      <c r="F622" s="118" t="s">
        <v>67</v>
      </c>
      <c r="G622" s="119">
        <f>-G620*0.001/G617+G621*0.001/G618-G615*0.001/G618</f>
        <v>-1.5594013639260411</v>
      </c>
      <c r="H622" s="120" t="s">
        <v>69</v>
      </c>
      <c r="I622" s="59"/>
      <c r="J622" s="59"/>
      <c r="K622" s="59"/>
      <c r="L622" s="121"/>
      <c r="M622" s="30"/>
      <c r="N622" s="30"/>
      <c r="O622" s="30"/>
    </row>
    <row r="623" spans="1:15" ht="18">
      <c r="A623" s="28"/>
      <c r="B623" s="122" t="s">
        <v>376</v>
      </c>
      <c r="C623" s="62"/>
      <c r="D623" s="62"/>
      <c r="E623" s="159" t="s">
        <v>709</v>
      </c>
      <c r="F623" s="124" t="s">
        <v>67</v>
      </c>
      <c r="G623" s="125">
        <f>-G620*0.001/G617-G621*0.001/G619+G615*0.001/G619</f>
        <v>-10.996436487982807</v>
      </c>
      <c r="H623" s="126" t="s">
        <v>69</v>
      </c>
      <c r="I623" s="62"/>
      <c r="J623" s="62"/>
      <c r="K623" s="62"/>
      <c r="L623" s="127"/>
      <c r="M623" s="30"/>
      <c r="N623" s="30"/>
      <c r="O623" s="30"/>
    </row>
    <row r="624" spans="1:15" ht="7.5" customHeight="1">
      <c r="A624" s="28"/>
      <c r="B624" s="122"/>
      <c r="C624" s="62"/>
      <c r="D624" s="62"/>
      <c r="E624" s="62"/>
      <c r="F624" s="62"/>
      <c r="G624" s="62"/>
      <c r="H624" s="62"/>
      <c r="I624" s="62"/>
      <c r="J624" s="62"/>
      <c r="K624" s="62"/>
      <c r="L624" s="127"/>
      <c r="M624" s="30"/>
      <c r="N624" s="30"/>
      <c r="O624" s="30"/>
    </row>
    <row r="625" spans="1:15" ht="18.75">
      <c r="A625" s="28"/>
      <c r="B625" s="122" t="s">
        <v>718</v>
      </c>
      <c r="C625" s="62"/>
      <c r="D625" s="62"/>
      <c r="E625" s="62"/>
      <c r="F625" s="62"/>
      <c r="G625" s="129" t="str">
        <f>IF(G622&lt;G594,"nevzniknou trhliny","vzniknou trhliny!!!")</f>
        <v>nevzniknou trhliny</v>
      </c>
      <c r="H625" s="62"/>
      <c r="I625" s="62" t="s">
        <v>404</v>
      </c>
      <c r="J625" s="160" t="s">
        <v>716</v>
      </c>
      <c r="K625" s="62"/>
      <c r="L625" s="246" t="s">
        <v>405</v>
      </c>
      <c r="M625" s="30"/>
      <c r="N625" s="30"/>
      <c r="O625" s="30"/>
    </row>
    <row r="626" spans="1:15" ht="19.5" thickBot="1">
      <c r="A626" s="28"/>
      <c r="B626" s="171" t="s">
        <v>719</v>
      </c>
      <c r="C626" s="68"/>
      <c r="D626" s="68"/>
      <c r="E626" s="68"/>
      <c r="F626" s="68"/>
      <c r="G626" s="133" t="str">
        <f>IF(ABS(G623)&lt;0.6*G595,"nevzniknou trhliny","vzniknou trhliny!!!")</f>
        <v>nevzniknou trhliny</v>
      </c>
      <c r="H626" s="68"/>
      <c r="I626" s="68" t="s">
        <v>404</v>
      </c>
      <c r="J626" s="161" t="s">
        <v>715</v>
      </c>
      <c r="K626" s="68"/>
      <c r="L626" s="247" t="s">
        <v>406</v>
      </c>
      <c r="M626" s="30"/>
      <c r="N626" s="30"/>
      <c r="O626" s="30"/>
    </row>
    <row r="627" spans="1:15" ht="7.5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30"/>
      <c r="N627" s="30"/>
      <c r="O627" s="30"/>
    </row>
    <row r="628" spans="1:15" ht="19.5" customHeight="1" thickBot="1">
      <c r="A628" s="115" t="s">
        <v>653</v>
      </c>
      <c r="B628" s="139"/>
      <c r="C628" s="139"/>
      <c r="D628" s="139"/>
      <c r="E628" s="139"/>
      <c r="F628" s="139"/>
      <c r="G628" s="139"/>
      <c r="H628" s="139"/>
      <c r="I628" s="139"/>
      <c r="J628" s="139"/>
      <c r="K628" s="139"/>
      <c r="L628" s="139"/>
      <c r="M628" s="30"/>
      <c r="N628" s="30"/>
      <c r="O628" s="30"/>
    </row>
    <row r="629" spans="1:15" ht="17.25" thickTop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30"/>
      <c r="N629" s="30"/>
      <c r="O629" s="30"/>
    </row>
    <row r="630" spans="1:15" ht="16.5">
      <c r="A630" s="31" t="s">
        <v>654</v>
      </c>
      <c r="B630" s="32"/>
      <c r="C630" s="32"/>
      <c r="D630" s="32"/>
      <c r="E630" s="32"/>
      <c r="F630" s="32"/>
      <c r="G630" s="32"/>
      <c r="H630" s="32"/>
      <c r="I630" s="28"/>
      <c r="J630" s="28"/>
      <c r="K630" s="28"/>
      <c r="L630" s="28"/>
      <c r="M630" s="30"/>
      <c r="N630" s="30"/>
      <c r="O630" s="30"/>
    </row>
    <row r="631" spans="1:15" ht="18">
      <c r="A631" s="33" t="s">
        <v>4</v>
      </c>
      <c r="B631" s="28" t="s">
        <v>655</v>
      </c>
      <c r="C631" s="28"/>
      <c r="D631" s="45"/>
      <c r="E631" s="33" t="s">
        <v>659</v>
      </c>
      <c r="F631" s="34" t="s">
        <v>67</v>
      </c>
      <c r="G631" s="37">
        <v>0</v>
      </c>
      <c r="H631" s="28" t="s">
        <v>139</v>
      </c>
      <c r="I631" s="34">
        <f>G631*24*60</f>
        <v>0</v>
      </c>
      <c r="J631" s="28" t="s">
        <v>140</v>
      </c>
      <c r="K631" s="28"/>
      <c r="L631" s="72"/>
      <c r="M631" s="30"/>
      <c r="N631" s="30"/>
      <c r="O631" s="30"/>
    </row>
    <row r="632" spans="1:15" ht="18">
      <c r="A632" s="33" t="s">
        <v>5</v>
      </c>
      <c r="B632" s="28" t="s">
        <v>656</v>
      </c>
      <c r="C632" s="28"/>
      <c r="D632" s="45"/>
      <c r="E632" s="33" t="s">
        <v>138</v>
      </c>
      <c r="F632" s="34" t="s">
        <v>67</v>
      </c>
      <c r="G632" s="37">
        <f>G89</f>
        <v>4.8</v>
      </c>
      <c r="H632" s="28" t="s">
        <v>139</v>
      </c>
      <c r="I632" s="34">
        <f>G632*24*60</f>
        <v>6911.9999999999991</v>
      </c>
      <c r="J632" s="28" t="s">
        <v>140</v>
      </c>
      <c r="K632" s="28"/>
      <c r="L632" s="72"/>
      <c r="M632" s="30"/>
      <c r="N632" s="30"/>
      <c r="O632" s="30"/>
    </row>
    <row r="633" spans="1:15" ht="18">
      <c r="A633" s="33" t="s">
        <v>6</v>
      </c>
      <c r="B633" s="28" t="s">
        <v>657</v>
      </c>
      <c r="C633" s="28"/>
      <c r="D633" s="45"/>
      <c r="E633" s="33" t="s">
        <v>144</v>
      </c>
      <c r="F633" s="34" t="s">
        <v>67</v>
      </c>
      <c r="G633" s="37">
        <f>G90</f>
        <v>21</v>
      </c>
      <c r="H633" s="28" t="s">
        <v>145</v>
      </c>
      <c r="I633" s="34">
        <f>G633*24*60</f>
        <v>30240</v>
      </c>
      <c r="J633" s="28" t="s">
        <v>140</v>
      </c>
      <c r="K633" s="28"/>
      <c r="L633" s="72" t="s">
        <v>416</v>
      </c>
      <c r="M633" s="30"/>
      <c r="N633" s="30"/>
      <c r="O633" s="30"/>
    </row>
    <row r="634" spans="1:15" ht="18.75">
      <c r="A634" s="33" t="s">
        <v>7</v>
      </c>
      <c r="B634" s="28" t="s">
        <v>658</v>
      </c>
      <c r="C634" s="28"/>
      <c r="D634" s="45"/>
      <c r="E634" s="33" t="s">
        <v>143</v>
      </c>
      <c r="F634" s="34" t="s">
        <v>67</v>
      </c>
      <c r="G634" s="141">
        <f>G91</f>
        <v>36500</v>
      </c>
      <c r="H634" s="28" t="s">
        <v>145</v>
      </c>
      <c r="I634" s="34">
        <f>G634*24*60</f>
        <v>52560000</v>
      </c>
      <c r="J634" s="28" t="s">
        <v>140</v>
      </c>
      <c r="K634" s="28"/>
      <c r="L634" s="72" t="s">
        <v>417</v>
      </c>
      <c r="M634" s="30"/>
      <c r="N634" s="30"/>
      <c r="O634" s="30"/>
    </row>
    <row r="635" spans="1:15" ht="16.5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30"/>
      <c r="N635" s="172">
        <v>93</v>
      </c>
      <c r="O635" s="172">
        <v>52</v>
      </c>
    </row>
    <row r="636" spans="1:15" ht="17.25" thickBot="1">
      <c r="A636" s="140" t="s">
        <v>677</v>
      </c>
      <c r="B636" s="88"/>
      <c r="C636" s="88"/>
      <c r="D636" s="88"/>
      <c r="E636" s="88"/>
      <c r="F636" s="88"/>
      <c r="G636" s="88"/>
      <c r="H636" s="88"/>
      <c r="I636" s="28"/>
      <c r="J636" s="28"/>
      <c r="K636" s="28"/>
      <c r="L636" s="28"/>
      <c r="M636" s="29" t="s">
        <v>724</v>
      </c>
      <c r="N636" s="173">
        <v>12.5</v>
      </c>
      <c r="O636" s="173">
        <v>9.3000000000000007</v>
      </c>
    </row>
    <row r="637" spans="1:15" ht="18">
      <c r="A637" s="174" t="s">
        <v>4</v>
      </c>
      <c r="B637" s="59" t="s">
        <v>660</v>
      </c>
      <c r="C637" s="55"/>
      <c r="D637" s="59"/>
      <c r="E637" s="175" t="s">
        <v>963</v>
      </c>
      <c r="F637" s="118" t="s">
        <v>67</v>
      </c>
      <c r="G637" s="176">
        <f>G62</f>
        <v>1193</v>
      </c>
      <c r="H637" s="177" t="s">
        <v>666</v>
      </c>
      <c r="I637" s="178">
        <f>$I$643*0.001*G637</f>
        <v>1628.4449999999999</v>
      </c>
      <c r="J637" s="177" t="s">
        <v>680</v>
      </c>
      <c r="K637" s="179">
        <v>0</v>
      </c>
      <c r="L637" s="121" t="s">
        <v>679</v>
      </c>
      <c r="M637" s="30"/>
      <c r="N637" s="180">
        <f>G637*$N$635*0.001</f>
        <v>110.949</v>
      </c>
      <c r="O637" s="180">
        <f>G637*$O$635*0.001</f>
        <v>62.036000000000001</v>
      </c>
    </row>
    <row r="638" spans="1:15" ht="18">
      <c r="A638" s="181" t="s">
        <v>5</v>
      </c>
      <c r="B638" s="62" t="s">
        <v>661</v>
      </c>
      <c r="C638" s="107"/>
      <c r="D638" s="62"/>
      <c r="E638" s="182" t="s">
        <v>964</v>
      </c>
      <c r="F638" s="124" t="s">
        <v>67</v>
      </c>
      <c r="G638" s="183">
        <f>G178</f>
        <v>1142.5424995030219</v>
      </c>
      <c r="H638" s="63" t="s">
        <v>668</v>
      </c>
      <c r="I638" s="65">
        <f>$I$643*0.001*G638</f>
        <v>1559.5705118216249</v>
      </c>
      <c r="J638" s="63" t="s">
        <v>681</v>
      </c>
      <c r="K638" s="64">
        <v>0</v>
      </c>
      <c r="L638" s="127" t="s">
        <v>679</v>
      </c>
      <c r="M638" s="30"/>
      <c r="N638" s="180">
        <f>G638*$N$635*0.001</f>
        <v>106.25645245378104</v>
      </c>
      <c r="O638" s="180">
        <f>G638*$O$635*0.001</f>
        <v>59.412209974157136</v>
      </c>
    </row>
    <row r="639" spans="1:15" ht="18">
      <c r="A639" s="181" t="s">
        <v>6</v>
      </c>
      <c r="B639" s="62" t="s">
        <v>662</v>
      </c>
      <c r="C639" s="107"/>
      <c r="D639" s="62"/>
      <c r="E639" s="182" t="s">
        <v>965</v>
      </c>
      <c r="F639" s="124" t="s">
        <v>67</v>
      </c>
      <c r="G639" s="183">
        <f>G201</f>
        <v>1096.9090167322406</v>
      </c>
      <c r="H639" s="63" t="s">
        <v>669</v>
      </c>
      <c r="I639" s="65">
        <f>$I$643*0.001*G639</f>
        <v>1497.2808078395085</v>
      </c>
      <c r="J639" s="63" t="s">
        <v>682</v>
      </c>
      <c r="K639" s="184">
        <f>I639*$I$642</f>
        <v>189.95577105270365</v>
      </c>
      <c r="L639" s="127" t="s">
        <v>679</v>
      </c>
      <c r="M639" s="30"/>
      <c r="N639" s="180">
        <f>G639*$N$635*0.001</f>
        <v>102.01253855609838</v>
      </c>
      <c r="O639" s="180">
        <f>G639*$O$635*0.001</f>
        <v>57.039268870076512</v>
      </c>
    </row>
    <row r="640" spans="1:15" ht="18">
      <c r="A640" s="181" t="s">
        <v>7</v>
      </c>
      <c r="B640" s="62" t="s">
        <v>663</v>
      </c>
      <c r="C640" s="107"/>
      <c r="D640" s="62"/>
      <c r="E640" s="182" t="s">
        <v>966</v>
      </c>
      <c r="F640" s="124" t="s">
        <v>67</v>
      </c>
      <c r="G640" s="183">
        <f>G336</f>
        <v>1042.4848625017501</v>
      </c>
      <c r="H640" s="63" t="s">
        <v>670</v>
      </c>
      <c r="I640" s="65">
        <f>$I$643*0.001*G640</f>
        <v>1422.9918373148889</v>
      </c>
      <c r="J640" s="63" t="s">
        <v>683</v>
      </c>
      <c r="K640" s="184">
        <f>I640*$I$642</f>
        <v>180.53093998372202</v>
      </c>
      <c r="L640" s="127" t="s">
        <v>679</v>
      </c>
      <c r="M640" s="30"/>
      <c r="N640" s="180">
        <f>G640*$N$635*0.001</f>
        <v>96.951092212662758</v>
      </c>
      <c r="O640" s="180">
        <f>G640*$O$635*0.001</f>
        <v>54.209212850091006</v>
      </c>
    </row>
    <row r="641" spans="1:15" ht="19.5" thickBot="1">
      <c r="A641" s="185" t="s">
        <v>8</v>
      </c>
      <c r="B641" s="68" t="s">
        <v>664</v>
      </c>
      <c r="C641" s="68"/>
      <c r="D641" s="68"/>
      <c r="E641" s="186" t="s">
        <v>967</v>
      </c>
      <c r="F641" s="69" t="s">
        <v>67</v>
      </c>
      <c r="G641" s="187">
        <f>G522</f>
        <v>957.2907210324646</v>
      </c>
      <c r="H641" s="188" t="s">
        <v>671</v>
      </c>
      <c r="I641" s="189">
        <f>$I$643*0.001*G641</f>
        <v>1306.7018342093143</v>
      </c>
      <c r="J641" s="188" t="s">
        <v>684</v>
      </c>
      <c r="K641" s="190">
        <f>I641*$I$642</f>
        <v>165.77755699104526</v>
      </c>
      <c r="L641" s="191" t="s">
        <v>679</v>
      </c>
      <c r="M641" s="30"/>
      <c r="N641" s="180">
        <f>G641*$N$635*0.001</f>
        <v>89.028037056019215</v>
      </c>
      <c r="O641" s="180">
        <f>G641*$O$635*0.001</f>
        <v>49.779117493688162</v>
      </c>
    </row>
    <row r="642" spans="1:15" ht="18">
      <c r="A642" s="28"/>
      <c r="B642" s="28" t="s">
        <v>674</v>
      </c>
      <c r="C642" s="28" t="s">
        <v>673</v>
      </c>
      <c r="D642" s="28"/>
      <c r="E642" s="28"/>
      <c r="F642" s="28"/>
      <c r="G642" s="28"/>
      <c r="H642" s="33" t="s">
        <v>667</v>
      </c>
      <c r="I642" s="143">
        <f>$G$76</f>
        <v>0.1268671648351648</v>
      </c>
      <c r="J642" s="28" t="s">
        <v>98</v>
      </c>
      <c r="K642" s="28"/>
      <c r="L642" s="28"/>
      <c r="M642" s="30"/>
      <c r="N642" s="30"/>
      <c r="O642" s="30"/>
    </row>
    <row r="643" spans="1:15" ht="18.75">
      <c r="A643" s="28"/>
      <c r="B643" s="28"/>
      <c r="C643" s="28" t="s">
        <v>672</v>
      </c>
      <c r="D643" s="28"/>
      <c r="E643" s="28"/>
      <c r="F643" s="28"/>
      <c r="G643" s="28"/>
      <c r="H643" s="33" t="s">
        <v>675</v>
      </c>
      <c r="I643" s="37">
        <f>$G$74</f>
        <v>1365</v>
      </c>
      <c r="J643" s="28" t="s">
        <v>99</v>
      </c>
      <c r="K643" s="28"/>
      <c r="L643" s="28"/>
      <c r="M643" s="30"/>
      <c r="N643" s="30"/>
      <c r="O643" s="30"/>
    </row>
    <row r="644" spans="1:15" ht="16.5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30"/>
      <c r="N644" s="30"/>
      <c r="O644" s="30"/>
    </row>
    <row r="645" spans="1:15" ht="18.75" thickBot="1">
      <c r="A645" s="140" t="s">
        <v>678</v>
      </c>
      <c r="B645" s="88"/>
      <c r="C645" s="88"/>
      <c r="D645" s="88"/>
      <c r="E645" s="88"/>
      <c r="F645" s="88"/>
      <c r="G645" s="88"/>
      <c r="H645" s="88"/>
      <c r="I645" s="28"/>
      <c r="J645" s="28"/>
      <c r="K645" s="28"/>
      <c r="L645" s="28"/>
      <c r="M645" s="30"/>
      <c r="N645" s="30"/>
      <c r="O645" s="30"/>
    </row>
    <row r="646" spans="1:15" ht="18">
      <c r="A646" s="174" t="s">
        <v>4</v>
      </c>
      <c r="B646" s="59" t="s">
        <v>660</v>
      </c>
      <c r="C646" s="55"/>
      <c r="D646" s="59"/>
      <c r="E646" s="175" t="s">
        <v>963</v>
      </c>
      <c r="F646" s="118" t="s">
        <v>67</v>
      </c>
      <c r="G646" s="176">
        <f>G62</f>
        <v>1193</v>
      </c>
      <c r="H646" s="177" t="s">
        <v>666</v>
      </c>
      <c r="I646" s="178">
        <f>$I$652*0.001*G646</f>
        <v>1628.4449999999999</v>
      </c>
      <c r="J646" s="177" t="s">
        <v>680</v>
      </c>
      <c r="K646" s="179">
        <v>0</v>
      </c>
      <c r="L646" s="121" t="s">
        <v>679</v>
      </c>
      <c r="M646" s="30"/>
      <c r="N646" s="30"/>
      <c r="O646" s="30"/>
    </row>
    <row r="647" spans="1:15" ht="18">
      <c r="A647" s="181" t="s">
        <v>5</v>
      </c>
      <c r="B647" s="62" t="s">
        <v>661</v>
      </c>
      <c r="C647" s="107"/>
      <c r="D647" s="62"/>
      <c r="E647" s="182" t="s">
        <v>964</v>
      </c>
      <c r="F647" s="124" t="s">
        <v>67</v>
      </c>
      <c r="G647" s="183">
        <f>G190</f>
        <v>1142.5424995030219</v>
      </c>
      <c r="H647" s="63" t="s">
        <v>668</v>
      </c>
      <c r="I647" s="65">
        <f>$I$652*0.001*G647</f>
        <v>1559.5705118216249</v>
      </c>
      <c r="J647" s="63" t="s">
        <v>681</v>
      </c>
      <c r="K647" s="64">
        <v>0</v>
      </c>
      <c r="L647" s="127" t="s">
        <v>679</v>
      </c>
      <c r="M647" s="30"/>
      <c r="N647" s="30"/>
      <c r="O647" s="30"/>
    </row>
    <row r="648" spans="1:15" ht="18">
      <c r="A648" s="181" t="s">
        <v>6</v>
      </c>
      <c r="B648" s="62" t="s">
        <v>662</v>
      </c>
      <c r="C648" s="107"/>
      <c r="D648" s="62"/>
      <c r="E648" s="182" t="s">
        <v>965</v>
      </c>
      <c r="F648" s="124" t="s">
        <v>67</v>
      </c>
      <c r="G648" s="183">
        <f>G202</f>
        <v>1066.2551902717858</v>
      </c>
      <c r="H648" s="63" t="s">
        <v>669</v>
      </c>
      <c r="I648" s="65">
        <f>$I$652*0.001*G648</f>
        <v>1455.4383347209875</v>
      </c>
      <c r="J648" s="63" t="s">
        <v>682</v>
      </c>
      <c r="K648" s="184">
        <f>I648*$I$651</f>
        <v>184.64733511846529</v>
      </c>
      <c r="L648" s="127" t="s">
        <v>679</v>
      </c>
      <c r="M648" s="30"/>
      <c r="N648" s="30"/>
      <c r="O648" s="30"/>
    </row>
    <row r="649" spans="1:15" ht="18">
      <c r="A649" s="181" t="s">
        <v>7</v>
      </c>
      <c r="B649" s="62" t="s">
        <v>663</v>
      </c>
      <c r="C649" s="107"/>
      <c r="D649" s="62"/>
      <c r="E649" s="182" t="s">
        <v>966</v>
      </c>
      <c r="F649" s="124" t="s">
        <v>67</v>
      </c>
      <c r="G649" s="125">
        <f>G380</f>
        <v>994.9251249307132</v>
      </c>
      <c r="H649" s="63" t="s">
        <v>670</v>
      </c>
      <c r="I649" s="65">
        <f>$I$652*0.001*G649</f>
        <v>1358.0727955304235</v>
      </c>
      <c r="J649" s="63" t="s">
        <v>683</v>
      </c>
      <c r="K649" s="184">
        <f>I649*$I$651</f>
        <v>172.29484520871131</v>
      </c>
      <c r="L649" s="127" t="s">
        <v>679</v>
      </c>
      <c r="M649" s="30"/>
      <c r="N649" s="30"/>
    </row>
    <row r="650" spans="1:15" ht="19.5" thickBot="1">
      <c r="A650" s="185" t="s">
        <v>8</v>
      </c>
      <c r="B650" s="68" t="s">
        <v>664</v>
      </c>
      <c r="C650" s="68"/>
      <c r="D650" s="68"/>
      <c r="E650" s="186" t="s">
        <v>967</v>
      </c>
      <c r="F650" s="69" t="s">
        <v>67</v>
      </c>
      <c r="G650" s="187">
        <f>G570</f>
        <v>851.71863181429342</v>
      </c>
      <c r="H650" s="188" t="s">
        <v>671</v>
      </c>
      <c r="I650" s="189">
        <f>$I$652*0.001*G650</f>
        <v>1162.5959324265104</v>
      </c>
      <c r="J650" s="188" t="s">
        <v>684</v>
      </c>
      <c r="K650" s="190">
        <f>I650*$I$651</f>
        <v>147.49524979584623</v>
      </c>
      <c r="L650" s="191" t="s">
        <v>679</v>
      </c>
      <c r="M650" s="30"/>
      <c r="N650" s="30"/>
    </row>
    <row r="651" spans="1:15" ht="18">
      <c r="A651" s="28"/>
      <c r="B651" s="28" t="s">
        <v>674</v>
      </c>
      <c r="C651" s="28" t="s">
        <v>673</v>
      </c>
      <c r="D651" s="28"/>
      <c r="E651" s="28"/>
      <c r="F651" s="28"/>
      <c r="G651" s="28"/>
      <c r="H651" s="33" t="s">
        <v>667</v>
      </c>
      <c r="I651" s="143">
        <f>$G$76</f>
        <v>0.1268671648351648</v>
      </c>
      <c r="J651" s="28" t="s">
        <v>98</v>
      </c>
      <c r="K651" s="28"/>
      <c r="L651" s="28"/>
      <c r="M651" s="30"/>
      <c r="N651" s="30"/>
    </row>
    <row r="652" spans="1:15" ht="18.75">
      <c r="A652" s="28"/>
      <c r="B652" s="28"/>
      <c r="C652" s="28" t="s">
        <v>672</v>
      </c>
      <c r="D652" s="28"/>
      <c r="E652" s="28"/>
      <c r="F652" s="28"/>
      <c r="G652" s="28"/>
      <c r="H652" s="33" t="s">
        <v>675</v>
      </c>
      <c r="I652" s="37">
        <f>$G$74</f>
        <v>1365</v>
      </c>
      <c r="J652" s="28" t="s">
        <v>99</v>
      </c>
      <c r="K652" s="28"/>
      <c r="L652" s="28"/>
      <c r="M652" s="30"/>
      <c r="N652" s="30"/>
    </row>
    <row r="653" spans="1:15" ht="16.5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30"/>
      <c r="N653" s="30"/>
    </row>
    <row r="654" spans="1:15" ht="16.5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30"/>
      <c r="N654" s="30"/>
    </row>
    <row r="655" spans="1:15" ht="19.5" customHeight="1" thickBot="1">
      <c r="A655" s="192" t="s">
        <v>723</v>
      </c>
      <c r="B655" s="193"/>
      <c r="C655" s="193"/>
      <c r="D655" s="193"/>
      <c r="E655" s="193"/>
      <c r="F655" s="193"/>
      <c r="G655" s="193"/>
      <c r="H655" s="193"/>
      <c r="I655" s="193"/>
      <c r="J655" s="193"/>
      <c r="K655" s="193"/>
      <c r="L655" s="193"/>
      <c r="M655" s="30"/>
      <c r="N655" s="30"/>
    </row>
    <row r="656" spans="1:15" ht="7.5" customHeight="1" thickTop="1">
      <c r="A656" s="194"/>
      <c r="B656" s="194"/>
      <c r="C656" s="194"/>
      <c r="D656" s="194"/>
      <c r="E656" s="194"/>
      <c r="F656" s="194"/>
      <c r="G656" s="194"/>
      <c r="H656" s="194"/>
      <c r="I656" s="194"/>
      <c r="J656" s="194"/>
      <c r="K656" s="194"/>
      <c r="L656" s="194"/>
      <c r="M656" s="30"/>
      <c r="N656" s="30"/>
    </row>
    <row r="657" spans="1:14" ht="16.5">
      <c r="A657" s="195" t="s">
        <v>725</v>
      </c>
      <c r="B657" s="196"/>
      <c r="C657" s="196"/>
      <c r="D657" s="196"/>
      <c r="E657" s="196"/>
      <c r="F657" s="196"/>
      <c r="G657" s="196"/>
      <c r="H657" s="196"/>
      <c r="I657" s="194"/>
      <c r="J657" s="194"/>
      <c r="K657" s="194"/>
      <c r="L657" s="194"/>
      <c r="M657" s="30"/>
      <c r="N657" s="30"/>
    </row>
    <row r="658" spans="1:14" ht="7.5" customHeight="1">
      <c r="A658" s="194"/>
      <c r="B658" s="194"/>
      <c r="C658" s="194"/>
      <c r="D658" s="194"/>
      <c r="E658" s="194"/>
      <c r="F658" s="194"/>
      <c r="G658" s="194"/>
      <c r="H658" s="194"/>
      <c r="I658" s="194"/>
      <c r="J658" s="194"/>
      <c r="K658" s="194"/>
      <c r="L658" s="194"/>
      <c r="M658" s="30"/>
      <c r="N658" s="30"/>
    </row>
    <row r="659" spans="1:14" ht="18">
      <c r="A659" s="197" t="s">
        <v>968</v>
      </c>
      <c r="B659" s="194"/>
      <c r="C659" s="194"/>
      <c r="D659" s="194"/>
      <c r="E659" s="198" t="s">
        <v>726</v>
      </c>
      <c r="F659" s="199" t="s">
        <v>67</v>
      </c>
      <c r="G659" s="200">
        <f>1/8*POWER($G$15,2)*($G$70*25*1.35+$G$436*1.35+G438*1.5*$G$437)</f>
        <v>462.43689112500005</v>
      </c>
      <c r="H659" s="194" t="s">
        <v>279</v>
      </c>
      <c r="I659" s="201" t="s">
        <v>727</v>
      </c>
      <c r="J659" s="194"/>
      <c r="K659" s="194"/>
      <c r="L659" s="194"/>
      <c r="M659" s="30"/>
      <c r="N659" s="30"/>
    </row>
    <row r="660" spans="1:14" ht="7.5" customHeight="1">
      <c r="A660" s="194"/>
      <c r="B660" s="194"/>
      <c r="C660" s="194"/>
      <c r="D660" s="194"/>
      <c r="E660" s="194"/>
      <c r="F660" s="194"/>
      <c r="G660" s="194"/>
      <c r="H660" s="194"/>
      <c r="I660" s="194"/>
      <c r="J660" s="194"/>
      <c r="K660" s="194"/>
      <c r="L660" s="194"/>
      <c r="M660" s="30"/>
      <c r="N660" s="30"/>
    </row>
    <row r="661" spans="1:14" ht="18">
      <c r="A661" s="194"/>
      <c r="B661" s="194" t="s">
        <v>729</v>
      </c>
      <c r="C661" s="194"/>
      <c r="D661" s="194"/>
      <c r="E661" s="202" t="s">
        <v>583</v>
      </c>
      <c r="F661" s="199" t="s">
        <v>67</v>
      </c>
      <c r="G661" s="42">
        <v>1</v>
      </c>
      <c r="H661" s="203" t="s">
        <v>199</v>
      </c>
      <c r="I661" s="194"/>
      <c r="J661" s="194"/>
      <c r="K661" s="194"/>
      <c r="L661" s="204" t="s">
        <v>731</v>
      </c>
      <c r="M661" s="30"/>
      <c r="N661" s="30"/>
    </row>
    <row r="662" spans="1:14" ht="18.75">
      <c r="A662" s="194"/>
      <c r="B662" s="194" t="s">
        <v>730</v>
      </c>
      <c r="C662" s="194"/>
      <c r="D662" s="194"/>
      <c r="E662" s="198" t="s">
        <v>732</v>
      </c>
      <c r="F662" s="199" t="s">
        <v>67</v>
      </c>
      <c r="G662" s="205">
        <f>I641*G661</f>
        <v>1306.7018342093143</v>
      </c>
      <c r="H662" s="194" t="s">
        <v>119</v>
      </c>
      <c r="I662" s="201" t="s">
        <v>733</v>
      </c>
      <c r="J662" s="194"/>
      <c r="K662" s="194"/>
      <c r="L662" s="194"/>
      <c r="M662" s="30"/>
      <c r="N662" s="30"/>
    </row>
    <row r="663" spans="1:14" ht="18">
      <c r="A663" s="194"/>
      <c r="B663" s="194" t="s">
        <v>203</v>
      </c>
      <c r="C663" s="206"/>
      <c r="D663" s="206"/>
      <c r="E663" s="198" t="s">
        <v>204</v>
      </c>
      <c r="F663" s="199" t="s">
        <v>67</v>
      </c>
      <c r="G663" s="207">
        <f>G76</f>
        <v>0.1268671648351648</v>
      </c>
      <c r="H663" s="194" t="s">
        <v>98</v>
      </c>
      <c r="I663" s="194"/>
      <c r="J663" s="194"/>
      <c r="K663" s="194"/>
      <c r="L663" s="194"/>
      <c r="M663" s="30"/>
      <c r="N663" s="30"/>
    </row>
    <row r="664" spans="1:14" ht="18">
      <c r="A664" s="194"/>
      <c r="B664" s="194" t="s">
        <v>811</v>
      </c>
      <c r="C664" s="206"/>
      <c r="D664" s="206"/>
      <c r="E664" s="198" t="s">
        <v>189</v>
      </c>
      <c r="F664" s="199" t="s">
        <v>67</v>
      </c>
      <c r="G664" s="207">
        <f>G71</f>
        <v>0.20503199999999999</v>
      </c>
      <c r="H664" s="194" t="s">
        <v>98</v>
      </c>
      <c r="I664" s="194"/>
      <c r="J664" s="194"/>
      <c r="K664" s="194"/>
      <c r="L664" s="194"/>
      <c r="M664" s="30"/>
      <c r="N664" s="30"/>
    </row>
    <row r="665" spans="1:14" ht="16.5">
      <c r="A665" s="197" t="s">
        <v>839</v>
      </c>
      <c r="B665" s="194"/>
      <c r="C665" s="194"/>
      <c r="D665" s="194"/>
      <c r="E665" s="194"/>
      <c r="F665" s="194"/>
      <c r="G665" s="194"/>
      <c r="H665" s="194"/>
      <c r="I665" s="194"/>
      <c r="J665" s="194"/>
      <c r="K665" s="194"/>
      <c r="L665" s="194"/>
      <c r="M665" s="30"/>
      <c r="N665" s="30"/>
    </row>
    <row r="666" spans="1:14" ht="18">
      <c r="A666" s="194"/>
      <c r="B666" s="194" t="s">
        <v>772</v>
      </c>
      <c r="C666" s="194"/>
      <c r="D666" s="194"/>
      <c r="E666" s="198" t="s">
        <v>836</v>
      </c>
      <c r="F666" s="199" t="s">
        <v>67</v>
      </c>
      <c r="G666" s="74">
        <v>44</v>
      </c>
      <c r="H666" s="194" t="s">
        <v>80</v>
      </c>
      <c r="I666" s="194"/>
      <c r="J666" s="194"/>
      <c r="K666" s="194"/>
      <c r="L666" s="194"/>
      <c r="M666" s="30"/>
      <c r="N666" s="30"/>
    </row>
    <row r="667" spans="1:14" ht="18">
      <c r="A667" s="194"/>
      <c r="B667" s="194" t="s">
        <v>835</v>
      </c>
      <c r="C667" s="194"/>
      <c r="D667" s="194"/>
      <c r="E667" s="198" t="s">
        <v>838</v>
      </c>
      <c r="F667" s="199" t="s">
        <v>67</v>
      </c>
      <c r="G667" s="74">
        <v>36</v>
      </c>
      <c r="H667" s="194" t="s">
        <v>80</v>
      </c>
      <c r="I667" s="194"/>
      <c r="J667" s="194"/>
      <c r="K667" s="194"/>
      <c r="L667" s="194"/>
      <c r="M667" s="30"/>
      <c r="N667" s="30"/>
    </row>
    <row r="668" spans="1:14" ht="16.5">
      <c r="A668" s="194"/>
      <c r="B668" s="194" t="s">
        <v>773</v>
      </c>
      <c r="C668" s="194"/>
      <c r="D668" s="194"/>
      <c r="E668" s="198" t="s">
        <v>459</v>
      </c>
      <c r="F668" s="199" t="s">
        <v>67</v>
      </c>
      <c r="G668" s="74">
        <v>1145</v>
      </c>
      <c r="H668" s="194" t="s">
        <v>80</v>
      </c>
      <c r="I668" s="194"/>
      <c r="J668" s="194"/>
      <c r="K668" s="194"/>
      <c r="L668" s="194"/>
      <c r="M668" s="30"/>
      <c r="N668" s="30"/>
    </row>
    <row r="669" spans="1:14" ht="18">
      <c r="A669" s="194"/>
      <c r="B669" s="194" t="s">
        <v>776</v>
      </c>
      <c r="C669" s="194"/>
      <c r="D669" s="194"/>
      <c r="E669" s="198" t="s">
        <v>777</v>
      </c>
      <c r="F669" s="199" t="s">
        <v>67</v>
      </c>
      <c r="G669" s="74">
        <v>245</v>
      </c>
      <c r="H669" s="194" t="s">
        <v>80</v>
      </c>
      <c r="I669" s="194"/>
      <c r="J669" s="194"/>
      <c r="K669" s="194"/>
      <c r="L669" s="194"/>
      <c r="M669" s="30"/>
      <c r="N669" s="30"/>
    </row>
    <row r="670" spans="1:14" ht="16.5">
      <c r="A670" s="194"/>
      <c r="B670" s="194" t="s">
        <v>840</v>
      </c>
      <c r="C670" s="194"/>
      <c r="D670" s="194"/>
      <c r="E670" s="198" t="s">
        <v>129</v>
      </c>
      <c r="F670" s="199" t="s">
        <v>67</v>
      </c>
      <c r="G670" s="207">
        <f>G11</f>
        <v>0.4</v>
      </c>
      <c r="H670" s="194" t="s">
        <v>98</v>
      </c>
      <c r="I670" s="194"/>
      <c r="J670" s="194"/>
      <c r="K670" s="194"/>
      <c r="L670" s="194"/>
      <c r="M670" s="30"/>
      <c r="N670" s="30"/>
    </row>
    <row r="671" spans="1:14" ht="7.5" customHeight="1">
      <c r="A671" s="194"/>
      <c r="B671" s="194"/>
      <c r="C671" s="194"/>
      <c r="D671" s="194"/>
      <c r="E671" s="194"/>
      <c r="F671" s="194"/>
      <c r="G671" s="194"/>
      <c r="H671" s="194"/>
      <c r="I671" s="194"/>
      <c r="J671" s="194"/>
      <c r="K671" s="194"/>
      <c r="L671" s="194"/>
      <c r="M671" s="30"/>
      <c r="N671" s="30"/>
    </row>
    <row r="672" spans="1:14" ht="18">
      <c r="A672" s="194"/>
      <c r="B672" s="197" t="s">
        <v>819</v>
      </c>
      <c r="C672" s="194"/>
      <c r="D672" s="194"/>
      <c r="E672" s="208" t="s">
        <v>817</v>
      </c>
      <c r="F672" s="209" t="s">
        <v>67</v>
      </c>
      <c r="G672" s="210">
        <f>G662</f>
        <v>1306.7018342093143</v>
      </c>
      <c r="H672" s="197" t="s">
        <v>119</v>
      </c>
      <c r="I672" s="201" t="s">
        <v>734</v>
      </c>
      <c r="J672" s="194"/>
      <c r="K672" s="194"/>
      <c r="L672" s="194"/>
      <c r="M672" s="30"/>
      <c r="N672" s="30"/>
    </row>
    <row r="673" spans="1:14" ht="18">
      <c r="A673" s="194"/>
      <c r="B673" s="194"/>
      <c r="C673" s="194"/>
      <c r="D673" s="194"/>
      <c r="E673" s="208" t="s">
        <v>818</v>
      </c>
      <c r="F673" s="209" t="s">
        <v>67</v>
      </c>
      <c r="G673" s="210">
        <f>-G662*G663+G659</f>
        <v>296.65933413395476</v>
      </c>
      <c r="H673" s="197" t="s">
        <v>279</v>
      </c>
      <c r="I673" s="201" t="s">
        <v>971</v>
      </c>
      <c r="J673" s="194"/>
      <c r="K673" s="211" t="str">
        <f>IF(G673&lt;0,"pozn.: táhne horní vlákna - nutno upravit výpočet","pozn.: táhne spodní vlákna")</f>
        <v>pozn.: táhne spodní vlákna</v>
      </c>
      <c r="L673" s="194"/>
      <c r="M673" s="30"/>
      <c r="N673" s="30"/>
    </row>
    <row r="674" spans="1:14" ht="18">
      <c r="A674" s="194"/>
      <c r="B674" s="194" t="s">
        <v>746</v>
      </c>
      <c r="C674" s="194"/>
      <c r="D674" s="194"/>
      <c r="E674" s="198" t="s">
        <v>747</v>
      </c>
      <c r="F674" s="199" t="s">
        <v>67</v>
      </c>
      <c r="G674" s="205">
        <f>G56</f>
        <v>1382.608695652174</v>
      </c>
      <c r="H674" s="194" t="s">
        <v>69</v>
      </c>
      <c r="I674" s="201"/>
      <c r="J674" s="194"/>
      <c r="K674" s="194"/>
      <c r="L674" s="194"/>
      <c r="M674" s="30"/>
      <c r="N674" s="30"/>
    </row>
    <row r="675" spans="1:14" ht="18">
      <c r="A675" s="194"/>
      <c r="B675" s="194" t="s">
        <v>762</v>
      </c>
      <c r="C675" s="194"/>
      <c r="D675" s="194"/>
      <c r="E675" s="198" t="s">
        <v>763</v>
      </c>
      <c r="F675" s="199" t="s">
        <v>67</v>
      </c>
      <c r="G675" s="205">
        <f>G46</f>
        <v>30</v>
      </c>
      <c r="H675" s="194" t="s">
        <v>69</v>
      </c>
      <c r="I675" s="201"/>
      <c r="J675" s="194"/>
      <c r="K675" s="194"/>
      <c r="L675" s="194"/>
      <c r="M675" s="30"/>
      <c r="N675" s="30"/>
    </row>
    <row r="676" spans="1:14" ht="18">
      <c r="A676" s="194"/>
      <c r="B676" s="194" t="s">
        <v>791</v>
      </c>
      <c r="C676" s="194"/>
      <c r="D676" s="194"/>
      <c r="E676" s="198" t="s">
        <v>792</v>
      </c>
      <c r="F676" s="199" t="s">
        <v>67</v>
      </c>
      <c r="G676" s="205">
        <f>VLOOKUP(N37,Hodnoty!A3:O16,11,TRUE)</f>
        <v>3.5</v>
      </c>
      <c r="H676" s="194" t="s">
        <v>489</v>
      </c>
      <c r="I676" s="201"/>
      <c r="J676" s="194"/>
      <c r="K676" s="194"/>
      <c r="L676" s="194"/>
      <c r="M676" s="30"/>
      <c r="N676" s="30"/>
    </row>
    <row r="677" spans="1:14" ht="18.75">
      <c r="A677" s="194"/>
      <c r="B677" s="194" t="s">
        <v>735</v>
      </c>
      <c r="C677" s="194"/>
      <c r="D677" s="194"/>
      <c r="E677" s="198" t="s">
        <v>736</v>
      </c>
      <c r="F677" s="199" t="s">
        <v>67</v>
      </c>
      <c r="G677" s="205">
        <f>G585</f>
        <v>1002.9242038032459</v>
      </c>
      <c r="H677" s="194" t="s">
        <v>69</v>
      </c>
      <c r="I677" s="194"/>
      <c r="J677" s="194"/>
      <c r="K677" s="194"/>
      <c r="L677" s="194"/>
      <c r="M677" s="30"/>
      <c r="N677" s="30"/>
    </row>
    <row r="678" spans="1:14" ht="18.75">
      <c r="A678" s="194"/>
      <c r="B678" s="194" t="s">
        <v>737</v>
      </c>
      <c r="C678" s="194"/>
      <c r="D678" s="194"/>
      <c r="E678" s="198" t="s">
        <v>738</v>
      </c>
      <c r="F678" s="199" t="s">
        <v>67</v>
      </c>
      <c r="G678" s="207">
        <f>G677/G57</f>
        <v>5.1432010451448509</v>
      </c>
      <c r="H678" s="194" t="s">
        <v>489</v>
      </c>
      <c r="I678" s="201" t="s">
        <v>739</v>
      </c>
      <c r="J678" s="194"/>
      <c r="K678" s="194"/>
      <c r="L678" s="194"/>
      <c r="M678" s="30"/>
      <c r="N678" s="30"/>
    </row>
    <row r="679" spans="1:14" ht="18">
      <c r="A679" s="194"/>
      <c r="B679" s="194" t="s">
        <v>740</v>
      </c>
      <c r="C679" s="194"/>
      <c r="D679" s="194"/>
      <c r="E679" s="198" t="s">
        <v>741</v>
      </c>
      <c r="F679" s="199" t="s">
        <v>67</v>
      </c>
      <c r="G679" s="207">
        <f>G674/G57</f>
        <v>7.0903010033444822</v>
      </c>
      <c r="H679" s="194" t="s">
        <v>489</v>
      </c>
      <c r="I679" s="201" t="s">
        <v>742</v>
      </c>
      <c r="J679" s="194"/>
      <c r="K679" s="194"/>
      <c r="L679" s="194"/>
      <c r="M679" s="30"/>
      <c r="N679" s="30"/>
    </row>
    <row r="680" spans="1:14" ht="18.75">
      <c r="A680" s="194"/>
      <c r="B680" s="194"/>
      <c r="C680" s="194"/>
      <c r="D680" s="194"/>
      <c r="E680" s="198" t="s">
        <v>738</v>
      </c>
      <c r="F680" s="199" t="str">
        <f>IF(G679&gt;G678,"&lt;","&gt;")</f>
        <v>&lt;</v>
      </c>
      <c r="G680" s="201" t="s">
        <v>741</v>
      </c>
      <c r="H680" s="194"/>
      <c r="I680" s="194" t="str">
        <f>IF(F680="&lt;","podmínka splněna","nelze počítat tímto programem!!!")</f>
        <v>podmínka splněna</v>
      </c>
      <c r="J680" s="194"/>
      <c r="K680" s="194"/>
      <c r="L680" s="194"/>
      <c r="M680" s="30"/>
      <c r="N680" s="30"/>
    </row>
    <row r="681" spans="1:14" ht="18.75">
      <c r="A681" s="194"/>
      <c r="B681" s="194" t="s">
        <v>743</v>
      </c>
      <c r="C681" s="194"/>
      <c r="D681" s="194"/>
      <c r="E681" s="198" t="s">
        <v>744</v>
      </c>
      <c r="F681" s="199" t="s">
        <v>67</v>
      </c>
      <c r="G681" s="205">
        <f>G674-G677</f>
        <v>379.68449184892813</v>
      </c>
      <c r="H681" s="194" t="s">
        <v>69</v>
      </c>
      <c r="I681" s="201" t="s">
        <v>745</v>
      </c>
      <c r="J681" s="194"/>
      <c r="K681" s="194"/>
      <c r="L681" s="194"/>
      <c r="M681" s="30"/>
      <c r="N681" s="30"/>
    </row>
    <row r="682" spans="1:14" ht="18.75">
      <c r="A682" s="194"/>
      <c r="B682" s="194" t="s">
        <v>752</v>
      </c>
      <c r="C682" s="194"/>
      <c r="D682" s="194"/>
      <c r="E682" s="198" t="s">
        <v>754</v>
      </c>
      <c r="F682" s="199" t="s">
        <v>67</v>
      </c>
      <c r="G682" s="205">
        <f>G32</f>
        <v>156</v>
      </c>
      <c r="H682" s="194" t="s">
        <v>99</v>
      </c>
      <c r="I682" s="201"/>
      <c r="J682" s="194"/>
      <c r="K682" s="194"/>
      <c r="L682" s="194"/>
      <c r="M682" s="30"/>
      <c r="N682" s="30"/>
    </row>
    <row r="683" spans="1:14" ht="18.75">
      <c r="A683" s="194"/>
      <c r="B683" s="194" t="s">
        <v>753</v>
      </c>
      <c r="C683" s="194"/>
      <c r="D683" s="194"/>
      <c r="E683" s="198" t="s">
        <v>755</v>
      </c>
      <c r="F683" s="199" t="s">
        <v>67</v>
      </c>
      <c r="G683" s="205">
        <f>G20+G26</f>
        <v>1209</v>
      </c>
      <c r="H683" s="194" t="s">
        <v>99</v>
      </c>
      <c r="I683" s="201"/>
      <c r="J683" s="194"/>
      <c r="K683" s="194"/>
      <c r="L683" s="194"/>
      <c r="M683" s="30"/>
      <c r="N683" s="30"/>
    </row>
    <row r="684" spans="1:14" ht="18.75">
      <c r="A684" s="194"/>
      <c r="B684" s="194" t="s">
        <v>748</v>
      </c>
      <c r="C684" s="194"/>
      <c r="D684" s="194"/>
      <c r="E684" s="198" t="s">
        <v>750</v>
      </c>
      <c r="F684" s="199" t="s">
        <v>67</v>
      </c>
      <c r="G684" s="200">
        <f>G681*G682*0.001</f>
        <v>59.230780728432791</v>
      </c>
      <c r="H684" s="194" t="s">
        <v>119</v>
      </c>
      <c r="I684" s="201" t="s">
        <v>756</v>
      </c>
      <c r="J684" s="194"/>
      <c r="K684" s="194"/>
      <c r="L684" s="194"/>
      <c r="M684" s="30"/>
      <c r="N684" s="30"/>
    </row>
    <row r="685" spans="1:14" ht="18.75">
      <c r="A685" s="194"/>
      <c r="B685" s="194" t="s">
        <v>749</v>
      </c>
      <c r="C685" s="194"/>
      <c r="D685" s="194"/>
      <c r="E685" s="198" t="s">
        <v>751</v>
      </c>
      <c r="F685" s="199" t="s">
        <v>67</v>
      </c>
      <c r="G685" s="200">
        <f>G681*G683*0.001</f>
        <v>459.03855064535412</v>
      </c>
      <c r="H685" s="194" t="s">
        <v>119</v>
      </c>
      <c r="I685" s="194"/>
      <c r="J685" s="194"/>
      <c r="K685" s="194"/>
      <c r="L685" s="194"/>
      <c r="M685" s="30"/>
    </row>
    <row r="686" spans="1:14" ht="7.5" customHeight="1">
      <c r="A686" s="194"/>
      <c r="B686" s="194"/>
      <c r="C686" s="194"/>
      <c r="D686" s="194"/>
      <c r="E686" s="194"/>
      <c r="F686" s="194"/>
      <c r="G686" s="194"/>
      <c r="H686" s="194"/>
      <c r="I686" s="194"/>
      <c r="J686" s="194"/>
      <c r="K686" s="194"/>
      <c r="L686" s="194"/>
      <c r="M686" s="30"/>
    </row>
    <row r="687" spans="1:14" ht="18.75">
      <c r="A687" s="194"/>
      <c r="B687" s="194" t="s">
        <v>757</v>
      </c>
      <c r="C687" s="194"/>
      <c r="D687" s="194"/>
      <c r="E687" s="198" t="s">
        <v>759</v>
      </c>
      <c r="F687" s="199" t="s">
        <v>67</v>
      </c>
      <c r="G687" s="200">
        <f>G672-G684+G685</f>
        <v>1706.5096041262354</v>
      </c>
      <c r="H687" s="194" t="s">
        <v>119</v>
      </c>
      <c r="I687" s="194" t="s">
        <v>758</v>
      </c>
      <c r="J687" s="194"/>
      <c r="K687" s="194"/>
      <c r="L687" s="194"/>
      <c r="M687" s="30"/>
    </row>
    <row r="688" spans="1:14" ht="18.75">
      <c r="A688" s="194"/>
      <c r="B688" s="194" t="s">
        <v>760</v>
      </c>
      <c r="C688" s="194"/>
      <c r="D688" s="194"/>
      <c r="E688" s="198" t="s">
        <v>761</v>
      </c>
      <c r="F688" s="199" t="s">
        <v>67</v>
      </c>
      <c r="G688" s="199">
        <f>G687/(G675*1000)</f>
        <v>5.6883653470874512E-2</v>
      </c>
      <c r="H688" s="194" t="s">
        <v>127</v>
      </c>
      <c r="I688" s="194"/>
      <c r="J688" s="194"/>
      <c r="K688" s="194"/>
      <c r="L688" s="194"/>
      <c r="M688" s="30"/>
    </row>
    <row r="689" spans="1:18" ht="16.5">
      <c r="A689" s="194"/>
      <c r="B689" s="194" t="s">
        <v>767</v>
      </c>
      <c r="C689" s="194"/>
      <c r="D689" s="194"/>
      <c r="E689" s="212" t="s">
        <v>768</v>
      </c>
      <c r="F689" s="199" t="s">
        <v>67</v>
      </c>
      <c r="G689" s="53">
        <v>0.8</v>
      </c>
      <c r="H689" s="194" t="s">
        <v>199</v>
      </c>
      <c r="I689" s="194"/>
      <c r="J689" s="194"/>
      <c r="K689" s="194"/>
      <c r="L689" s="194"/>
      <c r="M689" s="30"/>
    </row>
    <row r="690" spans="1:18" ht="18">
      <c r="A690" s="194"/>
      <c r="B690" s="194" t="s">
        <v>765</v>
      </c>
      <c r="C690" s="194"/>
      <c r="D690" s="194"/>
      <c r="E690" s="198" t="s">
        <v>766</v>
      </c>
      <c r="F690" s="199" t="s">
        <v>67</v>
      </c>
      <c r="G690" s="200">
        <f>G688*1000000/G668</f>
        <v>49.680046699453719</v>
      </c>
      <c r="H690" s="194" t="s">
        <v>80</v>
      </c>
      <c r="I690" s="198" t="s">
        <v>770</v>
      </c>
      <c r="J690" s="194"/>
      <c r="K690" s="194"/>
      <c r="L690" s="194"/>
      <c r="M690" s="30"/>
    </row>
    <row r="691" spans="1:18" ht="16.5">
      <c r="A691" s="194"/>
      <c r="B691" s="194"/>
      <c r="C691" s="194"/>
      <c r="D691" s="194"/>
      <c r="E691" s="198" t="s">
        <v>766</v>
      </c>
      <c r="F691" s="199" t="str">
        <f>IF(G690&gt;G666,"&gt;","&lt;")</f>
        <v>&gt;</v>
      </c>
      <c r="G691" s="201" t="s">
        <v>764</v>
      </c>
      <c r="H691" s="194"/>
      <c r="I691" s="197" t="str">
        <f>IF(F691="&lt;","tlačená oblast obdélníková","neplatí předpoklad obdélníkového rozložení napětí!")</f>
        <v>neplatí předpoklad obdélníkového rozložení napětí!</v>
      </c>
      <c r="J691" s="194"/>
      <c r="K691" s="194"/>
      <c r="L691" s="194"/>
      <c r="M691" s="30"/>
    </row>
    <row r="692" spans="1:18" ht="18.75">
      <c r="A692" s="194"/>
      <c r="B692" s="194" t="s">
        <v>771</v>
      </c>
      <c r="C692" s="194"/>
      <c r="D692" s="194"/>
      <c r="E692" s="198" t="s">
        <v>774</v>
      </c>
      <c r="F692" s="199" t="s">
        <v>67</v>
      </c>
      <c r="G692" s="207">
        <f>IF(F691="&gt;",G688-G668*G666*0.000001,0)</f>
        <v>6.5036534708745111E-3</v>
      </c>
      <c r="H692" s="194" t="s">
        <v>127</v>
      </c>
      <c r="I692" s="194"/>
      <c r="J692" s="194"/>
      <c r="K692" s="194"/>
      <c r="L692" s="194"/>
      <c r="M692" s="30"/>
    </row>
    <row r="693" spans="1:18" ht="18">
      <c r="A693" s="194"/>
      <c r="B693" s="194" t="s">
        <v>775</v>
      </c>
      <c r="C693" s="194"/>
      <c r="D693" s="194"/>
      <c r="E693" s="198" t="s">
        <v>766</v>
      </c>
      <c r="F693" s="199" t="s">
        <v>67</v>
      </c>
      <c r="G693" s="200">
        <f>IF(F691="&gt;",G666+G692*1000000/G669,G690)</f>
        <v>70.545524370916368</v>
      </c>
      <c r="H693" s="194" t="s">
        <v>80</v>
      </c>
      <c r="I693" s="213" t="s">
        <v>837</v>
      </c>
      <c r="J693" s="194"/>
      <c r="K693" s="194"/>
      <c r="L693" s="194"/>
      <c r="M693" s="30"/>
    </row>
    <row r="694" spans="1:18" ht="16.5">
      <c r="A694" s="194"/>
      <c r="B694" s="194" t="s">
        <v>778</v>
      </c>
      <c r="C694" s="194"/>
      <c r="D694" s="194"/>
      <c r="E694" s="198" t="s">
        <v>779</v>
      </c>
      <c r="F694" s="199" t="s">
        <v>67</v>
      </c>
      <c r="G694" s="200">
        <f>G693/G689</f>
        <v>88.18190546364545</v>
      </c>
      <c r="H694" s="194" t="s">
        <v>80</v>
      </c>
      <c r="I694" s="194"/>
      <c r="J694" s="194"/>
      <c r="K694" s="194"/>
      <c r="L694" s="194"/>
      <c r="M694" s="30"/>
    </row>
    <row r="695" spans="1:18" ht="16.5">
      <c r="A695" s="194"/>
      <c r="B695" s="194" t="s">
        <v>780</v>
      </c>
      <c r="C695" s="194"/>
      <c r="D695" s="194"/>
      <c r="E695" s="194"/>
      <c r="F695" s="194"/>
      <c r="G695" s="194"/>
      <c r="H695" s="194"/>
      <c r="I695" s="194"/>
      <c r="J695" s="194"/>
      <c r="K695" s="194"/>
      <c r="L695" s="194"/>
      <c r="M695" s="30"/>
    </row>
    <row r="696" spans="1:18" ht="18.75">
      <c r="A696" s="194"/>
      <c r="B696" s="194"/>
      <c r="C696" s="214" t="s">
        <v>786</v>
      </c>
      <c r="D696" s="194"/>
      <c r="E696" s="198" t="s">
        <v>781</v>
      </c>
      <c r="F696" s="199" t="s">
        <v>67</v>
      </c>
      <c r="G696" s="199">
        <f>$G$11*1000-G33</f>
        <v>35</v>
      </c>
      <c r="H696" s="194" t="s">
        <v>80</v>
      </c>
      <c r="I696" s="194"/>
      <c r="J696" s="194"/>
      <c r="K696" s="194"/>
      <c r="L696" s="194"/>
      <c r="M696" s="30"/>
    </row>
    <row r="697" spans="1:18" ht="18.75">
      <c r="A697" s="206"/>
      <c r="B697" s="206"/>
      <c r="C697" s="214" t="s">
        <v>785</v>
      </c>
      <c r="D697" s="206"/>
      <c r="E697" s="198" t="s">
        <v>782</v>
      </c>
      <c r="F697" s="199" t="s">
        <v>67</v>
      </c>
      <c r="G697" s="199">
        <f>$G$11*1000-G27</f>
        <v>325</v>
      </c>
      <c r="H697" s="194" t="s">
        <v>80</v>
      </c>
      <c r="I697" s="206"/>
      <c r="J697" s="206"/>
      <c r="K697" s="206"/>
      <c r="L697" s="206"/>
    </row>
    <row r="698" spans="1:18" ht="18.75">
      <c r="A698" s="206"/>
      <c r="B698" s="206"/>
      <c r="C698" s="214" t="s">
        <v>783</v>
      </c>
      <c r="D698" s="206"/>
      <c r="E698" s="198" t="s">
        <v>787</v>
      </c>
      <c r="F698" s="199" t="s">
        <v>67</v>
      </c>
      <c r="G698" s="207">
        <f>(G676/G694)*(G694-G696)</f>
        <v>2.1108261172639007</v>
      </c>
      <c r="H698" s="194" t="s">
        <v>489</v>
      </c>
      <c r="I698" s="201" t="s">
        <v>790</v>
      </c>
      <c r="J698" s="206"/>
      <c r="K698" s="206"/>
      <c r="L698" s="206"/>
      <c r="O698" s="30"/>
      <c r="P698" s="30"/>
      <c r="Q698" s="30"/>
      <c r="R698" s="30"/>
    </row>
    <row r="699" spans="1:18" ht="18.75">
      <c r="A699" s="206"/>
      <c r="B699" s="206"/>
      <c r="C699" s="214" t="s">
        <v>784</v>
      </c>
      <c r="D699" s="206"/>
      <c r="E699" s="198" t="s">
        <v>788</v>
      </c>
      <c r="F699" s="199" t="s">
        <v>67</v>
      </c>
      <c r="G699" s="207">
        <f>(G676/G694)*(G697-G694)</f>
        <v>9.3994717682637781</v>
      </c>
      <c r="H699" s="194" t="s">
        <v>489</v>
      </c>
      <c r="I699" s="201" t="s">
        <v>789</v>
      </c>
      <c r="J699" s="206"/>
      <c r="K699" s="206"/>
      <c r="L699" s="206"/>
      <c r="O699" s="30"/>
      <c r="P699" s="30"/>
      <c r="Q699" s="30"/>
      <c r="R699" s="30"/>
    </row>
    <row r="700" spans="1:18" ht="18.75">
      <c r="A700" s="206"/>
      <c r="B700" s="206"/>
      <c r="C700" s="214" t="s">
        <v>798</v>
      </c>
      <c r="D700" s="206"/>
      <c r="E700" s="198" t="s">
        <v>799</v>
      </c>
      <c r="F700" s="199" t="s">
        <v>67</v>
      </c>
      <c r="G700" s="207">
        <f>G698+$G$678</f>
        <v>7.254027162408752</v>
      </c>
      <c r="H700" s="194" t="s">
        <v>489</v>
      </c>
      <c r="I700" s="201" t="s">
        <v>802</v>
      </c>
      <c r="J700" s="206"/>
      <c r="K700" s="206"/>
      <c r="L700" s="206"/>
      <c r="O700" s="30"/>
      <c r="P700" s="30"/>
      <c r="Q700" s="30"/>
      <c r="R700" s="30"/>
    </row>
    <row r="701" spans="1:18" ht="18.75">
      <c r="A701" s="206"/>
      <c r="B701" s="206"/>
      <c r="C701" s="206"/>
      <c r="D701" s="206"/>
      <c r="E701" s="198" t="s">
        <v>800</v>
      </c>
      <c r="F701" s="199" t="s">
        <v>67</v>
      </c>
      <c r="G701" s="207">
        <f>G699+$G$678</f>
        <v>14.542672813408629</v>
      </c>
      <c r="H701" s="194" t="s">
        <v>489</v>
      </c>
      <c r="I701" s="201" t="s">
        <v>801</v>
      </c>
      <c r="J701" s="206"/>
      <c r="K701" s="206"/>
      <c r="L701" s="206"/>
      <c r="O701" s="30"/>
      <c r="P701" s="30"/>
      <c r="Q701" s="30"/>
      <c r="R701" s="30"/>
    </row>
    <row r="702" spans="1:18" ht="18.75">
      <c r="A702" s="206"/>
      <c r="B702" s="206"/>
      <c r="C702" s="206"/>
      <c r="D702" s="206"/>
      <c r="E702" s="198" t="s">
        <v>799</v>
      </c>
      <c r="F702" s="215" t="str">
        <f>IF(G700&gt;G679,"&gt;","&lt;")</f>
        <v>&gt;</v>
      </c>
      <c r="G702" s="201" t="s">
        <v>741</v>
      </c>
      <c r="H702" s="206"/>
      <c r="I702" s="197" t="str">
        <f>IF(F702="&gt;","platí předpoklady výpočtu, protažení je dostatečné","neplatí předpoklady výpočtu, vyřadit vrstvu výztuže!")</f>
        <v>platí předpoklady výpočtu, protažení je dostatečné</v>
      </c>
      <c r="J702" s="206"/>
      <c r="K702" s="206"/>
      <c r="L702" s="206"/>
      <c r="O702" s="30"/>
      <c r="P702" s="30"/>
      <c r="Q702" s="30"/>
      <c r="R702" s="30"/>
    </row>
    <row r="703" spans="1:18" ht="18.75">
      <c r="A703" s="206"/>
      <c r="B703" s="206"/>
      <c r="C703" s="206"/>
      <c r="D703" s="206"/>
      <c r="E703" s="198" t="s">
        <v>800</v>
      </c>
      <c r="F703" s="215" t="str">
        <f>IF(G701&gt;G679,"&gt;","&lt;")</f>
        <v>&gt;</v>
      </c>
      <c r="G703" s="201" t="s">
        <v>741</v>
      </c>
      <c r="H703" s="206"/>
      <c r="I703" s="197" t="str">
        <f>IF(F703="&gt;","platí předpoklady výpočtu, protažení je dostatečné","neplatí předpoklady výpočtu, vyřadit vrstvu výztuže!")</f>
        <v>platí předpoklady výpočtu, protažení je dostatečné</v>
      </c>
      <c r="J703" s="206"/>
      <c r="K703" s="206"/>
      <c r="L703" s="206"/>
      <c r="O703" s="30"/>
      <c r="P703" s="30"/>
      <c r="Q703" s="30"/>
      <c r="R703" s="30"/>
    </row>
    <row r="704" spans="1:18" ht="18">
      <c r="A704" s="194"/>
      <c r="B704" s="194" t="s">
        <v>803</v>
      </c>
      <c r="C704" s="194"/>
      <c r="D704" s="194"/>
      <c r="E704" s="198" t="s">
        <v>804</v>
      </c>
      <c r="F704" s="199" t="s">
        <v>67</v>
      </c>
      <c r="G704" s="200">
        <f>IF(F691="&gt;",(G668*G666*G666/2+G692*1000000*(G666+(G693-G666)/2))/(G688*1000000),G690/2)</f>
        <v>26.032825042298743</v>
      </c>
      <c r="H704" s="194" t="s">
        <v>80</v>
      </c>
      <c r="I704" s="194"/>
      <c r="J704" s="194"/>
      <c r="K704" s="194"/>
      <c r="L704" s="194"/>
      <c r="M704" s="30"/>
      <c r="N704" s="30"/>
      <c r="O704" s="30"/>
      <c r="P704" s="30"/>
      <c r="Q704" s="30"/>
      <c r="R704" s="30"/>
    </row>
    <row r="705" spans="1:19" ht="18">
      <c r="A705" s="194"/>
      <c r="B705" s="194" t="s">
        <v>813</v>
      </c>
      <c r="C705" s="194"/>
      <c r="D705" s="194"/>
      <c r="E705" s="198" t="s">
        <v>814</v>
      </c>
      <c r="F705" s="199" t="s">
        <v>67</v>
      </c>
      <c r="G705" s="200">
        <f>G33</f>
        <v>365</v>
      </c>
      <c r="H705" s="194" t="s">
        <v>80</v>
      </c>
      <c r="I705" s="194"/>
      <c r="J705" s="194"/>
      <c r="K705" s="194"/>
      <c r="L705" s="194"/>
      <c r="M705" s="30"/>
      <c r="N705" s="30"/>
      <c r="O705" s="30"/>
      <c r="P705" s="30"/>
      <c r="Q705" s="30"/>
      <c r="R705" s="30"/>
    </row>
    <row r="706" spans="1:19" ht="18">
      <c r="A706" s="194"/>
      <c r="B706" s="194" t="s">
        <v>812</v>
      </c>
      <c r="C706" s="194"/>
      <c r="D706" s="194"/>
      <c r="E706" s="198" t="s">
        <v>815</v>
      </c>
      <c r="F706" s="199" t="s">
        <v>67</v>
      </c>
      <c r="G706" s="200">
        <f>(G20*G21+G26*G27)/(G20+G26)</f>
        <v>41.153846153846153</v>
      </c>
      <c r="H706" s="194" t="s">
        <v>80</v>
      </c>
      <c r="I706" s="194"/>
      <c r="J706" s="194"/>
      <c r="K706" s="194"/>
      <c r="L706" s="194"/>
      <c r="M706" s="30"/>
      <c r="N706" s="30"/>
      <c r="O706" s="30"/>
      <c r="P706" s="30"/>
      <c r="Q706" s="30"/>
      <c r="R706" s="30"/>
    </row>
    <row r="707" spans="1:19" ht="18">
      <c r="A707" s="194"/>
      <c r="B707" s="194" t="s">
        <v>805</v>
      </c>
      <c r="C707" s="194"/>
      <c r="D707" s="194"/>
      <c r="E707" s="198" t="s">
        <v>806</v>
      </c>
      <c r="F707" s="199" t="s">
        <v>67</v>
      </c>
      <c r="G707" s="207">
        <f>G11-G664-G704*0.001</f>
        <v>0.16893517495770127</v>
      </c>
      <c r="H707" s="194" t="s">
        <v>98</v>
      </c>
      <c r="I707" s="194"/>
      <c r="J707" s="194"/>
      <c r="K707" s="194"/>
      <c r="L707" s="194"/>
      <c r="M707" s="30"/>
      <c r="N707" s="30"/>
      <c r="O707" s="30"/>
      <c r="P707" s="30"/>
      <c r="Q707" s="30"/>
      <c r="R707" s="30"/>
    </row>
    <row r="708" spans="1:19" ht="18.75">
      <c r="A708" s="194"/>
      <c r="B708" s="194" t="s">
        <v>807</v>
      </c>
      <c r="C708" s="194"/>
      <c r="D708" s="194"/>
      <c r="E708" s="198" t="s">
        <v>809</v>
      </c>
      <c r="F708" s="199" t="s">
        <v>67</v>
      </c>
      <c r="G708" s="207">
        <f>G705*0.001-G664</f>
        <v>0.159968</v>
      </c>
      <c r="H708" s="194" t="s">
        <v>98</v>
      </c>
      <c r="I708" s="194"/>
      <c r="J708" s="194"/>
      <c r="K708" s="194"/>
      <c r="L708" s="194"/>
      <c r="M708" s="30"/>
      <c r="N708" s="30"/>
      <c r="O708" s="30"/>
      <c r="P708" s="30"/>
      <c r="Q708" s="30"/>
      <c r="R708" s="30"/>
    </row>
    <row r="709" spans="1:19" ht="18.75">
      <c r="A709" s="194"/>
      <c r="B709" s="194" t="s">
        <v>808</v>
      </c>
      <c r="C709" s="194"/>
      <c r="D709" s="194"/>
      <c r="E709" s="198" t="s">
        <v>810</v>
      </c>
      <c r="F709" s="199" t="s">
        <v>67</v>
      </c>
      <c r="G709" s="207">
        <f>G664-G706*0.001</f>
        <v>0.16387815384615384</v>
      </c>
      <c r="H709" s="194" t="s">
        <v>98</v>
      </c>
      <c r="I709" s="194"/>
      <c r="J709" s="194"/>
      <c r="K709" s="194"/>
      <c r="L709" s="194"/>
      <c r="M709" s="30"/>
      <c r="N709" s="30"/>
      <c r="O709" s="30"/>
      <c r="P709" s="30"/>
      <c r="Q709" s="30"/>
      <c r="R709" s="30"/>
    </row>
    <row r="710" spans="1:19" ht="17.25" thickBot="1">
      <c r="A710" s="194"/>
      <c r="B710" s="194"/>
      <c r="C710" s="194"/>
      <c r="D710" s="194"/>
      <c r="E710" s="194"/>
      <c r="F710" s="194"/>
      <c r="G710" s="194"/>
      <c r="H710" s="194"/>
      <c r="I710" s="194"/>
      <c r="J710" s="194"/>
      <c r="K710" s="194"/>
      <c r="L710" s="194"/>
      <c r="M710" s="30"/>
      <c r="N710" s="30"/>
      <c r="O710" s="30"/>
      <c r="P710" s="30"/>
      <c r="Q710" s="30"/>
      <c r="R710" s="30"/>
    </row>
    <row r="711" spans="1:19" ht="18">
      <c r="A711" s="194"/>
      <c r="B711" s="216" t="s">
        <v>816</v>
      </c>
      <c r="C711" s="217"/>
      <c r="D711" s="217"/>
      <c r="E711" s="218" t="s">
        <v>820</v>
      </c>
      <c r="F711" s="219" t="s">
        <v>67</v>
      </c>
      <c r="G711" s="220">
        <f>G688*G675*G707*1000+G684*G708+G685*G709</f>
        <v>372.99091829560388</v>
      </c>
      <c r="H711" s="217" t="s">
        <v>279</v>
      </c>
      <c r="I711" s="221"/>
      <c r="J711" s="221"/>
      <c r="K711" s="221"/>
      <c r="L711" s="222"/>
      <c r="M711" s="30"/>
      <c r="N711" s="30"/>
      <c r="O711" s="30"/>
      <c r="P711" s="30"/>
      <c r="Q711" s="30"/>
      <c r="R711" s="30"/>
    </row>
    <row r="712" spans="1:19" ht="18">
      <c r="A712" s="194"/>
      <c r="B712" s="223"/>
      <c r="C712" s="224"/>
      <c r="D712" s="224"/>
      <c r="E712" s="225" t="s">
        <v>820</v>
      </c>
      <c r="F712" s="226" t="str">
        <f>IF(G711&gt;G673,"&gt;","&lt;")</f>
        <v>&gt;</v>
      </c>
      <c r="G712" s="227" t="s">
        <v>821</v>
      </c>
      <c r="H712" s="228">
        <f>G673</f>
        <v>296.65933413395476</v>
      </c>
      <c r="I712" s="224" t="s">
        <v>279</v>
      </c>
      <c r="J712" s="229"/>
      <c r="K712" s="229"/>
      <c r="L712" s="230"/>
      <c r="M712" s="30"/>
      <c r="N712" s="30"/>
    </row>
    <row r="713" spans="1:19" ht="17.25" thickBot="1">
      <c r="A713" s="194"/>
      <c r="B713" s="231"/>
      <c r="C713" s="232"/>
      <c r="D713" s="232"/>
      <c r="E713" s="232"/>
      <c r="F713" s="232"/>
      <c r="G713" s="233" t="str">
        <f>IF(F712="&gt;","VYHOVUJE NA MSÚ","NEVYHOVUJE!!!")</f>
        <v>VYHOVUJE NA MSÚ</v>
      </c>
      <c r="H713" s="232"/>
      <c r="I713" s="232"/>
      <c r="J713" s="232"/>
      <c r="K713" s="232"/>
      <c r="L713" s="234"/>
      <c r="M713" s="30"/>
      <c r="N713" s="30"/>
    </row>
    <row r="714" spans="1:19" ht="16.5">
      <c r="A714" s="194"/>
      <c r="B714" s="194"/>
      <c r="C714" s="194"/>
      <c r="D714" s="194"/>
      <c r="E714" s="194"/>
      <c r="F714" s="194"/>
      <c r="G714" s="194"/>
      <c r="H714" s="194"/>
      <c r="I714" s="194"/>
      <c r="J714" s="194"/>
      <c r="K714" s="194"/>
      <c r="L714" s="194"/>
      <c r="M714" s="30"/>
      <c r="N714" s="30"/>
      <c r="O714" s="30"/>
      <c r="P714" s="30"/>
      <c r="Q714" s="30"/>
      <c r="R714" s="30"/>
      <c r="S714" s="30"/>
    </row>
    <row r="715" spans="1:19" ht="19.5" customHeight="1" thickBot="1">
      <c r="A715" s="192" t="s">
        <v>849</v>
      </c>
      <c r="B715" s="193"/>
      <c r="C715" s="193"/>
      <c r="D715" s="193"/>
      <c r="E715" s="193"/>
      <c r="F715" s="193"/>
      <c r="G715" s="193"/>
      <c r="H715" s="193"/>
      <c r="I715" s="193"/>
      <c r="J715" s="193"/>
      <c r="K715" s="193"/>
      <c r="L715" s="193"/>
      <c r="M715" s="30"/>
      <c r="N715" s="30"/>
      <c r="O715" s="30"/>
      <c r="P715" s="30"/>
      <c r="Q715" s="30"/>
      <c r="R715" s="30"/>
      <c r="S715" s="30"/>
    </row>
    <row r="716" spans="1:19" ht="7.5" customHeight="1" thickTop="1">
      <c r="A716" s="194"/>
      <c r="B716" s="194"/>
      <c r="C716" s="194"/>
      <c r="D716" s="194"/>
      <c r="E716" s="194"/>
      <c r="F716" s="194"/>
      <c r="G716" s="194"/>
      <c r="H716" s="194"/>
      <c r="I716" s="194"/>
      <c r="J716" s="194"/>
      <c r="K716" s="194"/>
      <c r="L716" s="194"/>
      <c r="M716" s="30"/>
      <c r="N716" s="30"/>
      <c r="O716" s="30"/>
      <c r="P716" s="30"/>
      <c r="Q716" s="30"/>
      <c r="R716" s="30"/>
      <c r="S716" s="30"/>
    </row>
    <row r="717" spans="1:19" ht="16.5">
      <c r="A717" s="195" t="s">
        <v>824</v>
      </c>
      <c r="B717" s="196"/>
      <c r="C717" s="196"/>
      <c r="D717" s="196"/>
      <c r="E717" s="196"/>
      <c r="F717" s="196"/>
      <c r="G717" s="196"/>
      <c r="H717" s="196"/>
      <c r="I717" s="194"/>
      <c r="J717" s="194"/>
      <c r="K717" s="194"/>
      <c r="L717" s="194"/>
      <c r="M717" s="30"/>
      <c r="N717" s="30"/>
      <c r="O717" s="30"/>
      <c r="P717" s="30"/>
      <c r="Q717" s="30"/>
      <c r="R717" s="30"/>
      <c r="S717" s="30"/>
    </row>
    <row r="718" spans="1:19" ht="7.5" customHeight="1">
      <c r="A718" s="206"/>
      <c r="B718" s="206"/>
      <c r="C718" s="206"/>
      <c r="D718" s="206"/>
      <c r="E718" s="206"/>
      <c r="F718" s="206"/>
      <c r="G718" s="206"/>
      <c r="H718" s="206"/>
      <c r="I718" s="206"/>
      <c r="J718" s="206"/>
      <c r="K718" s="206"/>
      <c r="L718" s="206"/>
      <c r="O718" s="30"/>
      <c r="P718" s="30"/>
      <c r="Q718" s="30"/>
      <c r="R718" s="30"/>
      <c r="S718" s="30"/>
    </row>
    <row r="719" spans="1:19" ht="18">
      <c r="A719" s="194" t="s">
        <v>825</v>
      </c>
      <c r="B719" s="194"/>
      <c r="C719" s="194"/>
      <c r="D719" s="194"/>
      <c r="E719" s="198" t="s">
        <v>864</v>
      </c>
      <c r="F719" s="199" t="s">
        <v>67</v>
      </c>
      <c r="G719" s="200">
        <f>1/2*$G$15*($G$70*25*1.35+$G$436*1.35+G438*1.5*$G$437)</f>
        <v>103.91840250000001</v>
      </c>
      <c r="H719" s="194" t="s">
        <v>119</v>
      </c>
      <c r="I719" s="201" t="s">
        <v>865</v>
      </c>
      <c r="J719" s="194"/>
      <c r="K719" s="194"/>
      <c r="L719" s="194"/>
      <c r="O719" s="30"/>
      <c r="P719" s="30"/>
      <c r="Q719" s="30"/>
      <c r="R719" s="30"/>
      <c r="S719" s="30"/>
    </row>
    <row r="720" spans="1:19" ht="16.5">
      <c r="A720" s="194"/>
      <c r="B720" s="194" t="s">
        <v>829</v>
      </c>
      <c r="C720" s="194"/>
      <c r="D720" s="194"/>
      <c r="E720" s="194"/>
      <c r="F720" s="194"/>
      <c r="G720" s="194"/>
      <c r="H720" s="194"/>
      <c r="I720" s="194"/>
      <c r="J720" s="194"/>
      <c r="K720" s="194"/>
      <c r="L720" s="194"/>
      <c r="M720" s="30"/>
      <c r="N720" s="30"/>
      <c r="O720" s="30"/>
      <c r="P720" s="30"/>
      <c r="Q720" s="30"/>
      <c r="R720" s="30"/>
      <c r="S720" s="30"/>
    </row>
    <row r="721" spans="1:19" ht="18.75">
      <c r="A721" s="194" t="s">
        <v>831</v>
      </c>
      <c r="B721" s="194"/>
      <c r="C721" s="194"/>
      <c r="D721" s="194"/>
      <c r="E721" s="198" t="s">
        <v>732</v>
      </c>
      <c r="F721" s="199" t="s">
        <v>67</v>
      </c>
      <c r="G721" s="205">
        <f>I650*G661</f>
        <v>1162.5959324265104</v>
      </c>
      <c r="H721" s="194" t="s">
        <v>119</v>
      </c>
      <c r="I721" s="201" t="s">
        <v>733</v>
      </c>
      <c r="J721" s="194"/>
      <c r="K721" s="194"/>
      <c r="L721" s="194"/>
      <c r="M721" s="30"/>
      <c r="N721" s="30"/>
      <c r="O721" s="30"/>
      <c r="P721" s="30"/>
      <c r="Q721" s="30"/>
      <c r="R721" s="30"/>
      <c r="S721" s="30"/>
    </row>
    <row r="722" spans="1:19" ht="7.5" customHeight="1">
      <c r="A722" s="194"/>
      <c r="B722" s="194"/>
      <c r="C722" s="194"/>
      <c r="D722" s="194"/>
      <c r="E722" s="198"/>
      <c r="F722" s="199"/>
      <c r="G722" s="205"/>
      <c r="H722" s="194"/>
      <c r="I722" s="201"/>
      <c r="J722" s="194"/>
      <c r="K722" s="194"/>
      <c r="L722" s="194"/>
      <c r="M722" s="30"/>
      <c r="N722" s="30"/>
      <c r="O722" s="30"/>
      <c r="P722" s="30"/>
      <c r="Q722" s="30"/>
      <c r="R722" s="30"/>
      <c r="S722" s="30"/>
    </row>
    <row r="723" spans="1:19" ht="16.5">
      <c r="A723" s="194" t="s">
        <v>832</v>
      </c>
      <c r="B723" s="194"/>
      <c r="C723" s="194"/>
      <c r="D723" s="194"/>
      <c r="E723" s="194"/>
      <c r="F723" s="194"/>
      <c r="G723" s="194"/>
      <c r="H723" s="194"/>
      <c r="I723" s="194"/>
      <c r="J723" s="194"/>
      <c r="K723" s="194"/>
      <c r="L723" s="194"/>
      <c r="M723" s="30"/>
      <c r="N723" s="30"/>
      <c r="O723" s="30"/>
      <c r="P723" s="30"/>
      <c r="Q723" s="30"/>
      <c r="R723" s="30"/>
      <c r="S723" s="30"/>
    </row>
    <row r="724" spans="1:19" ht="18">
      <c r="A724" s="194"/>
      <c r="B724" s="194" t="s">
        <v>830</v>
      </c>
      <c r="C724" s="194"/>
      <c r="D724" s="194"/>
      <c r="E724" s="202" t="s">
        <v>826</v>
      </c>
      <c r="F724" s="199" t="s">
        <v>67</v>
      </c>
      <c r="G724" s="205">
        <f>G127</f>
        <v>1126.0452319458091</v>
      </c>
      <c r="H724" s="194" t="s">
        <v>80</v>
      </c>
      <c r="I724" s="235" t="s">
        <v>970</v>
      </c>
      <c r="J724" s="235"/>
      <c r="K724" s="235"/>
      <c r="L724" s="235"/>
      <c r="M724" s="30"/>
      <c r="N724" s="30"/>
      <c r="O724" s="30"/>
      <c r="P724" s="30"/>
      <c r="Q724" s="30"/>
      <c r="R724" s="30"/>
      <c r="S724" s="30"/>
    </row>
    <row r="725" spans="1:19" ht="18">
      <c r="A725" s="194"/>
      <c r="B725" s="194" t="s">
        <v>827</v>
      </c>
      <c r="C725" s="194"/>
      <c r="D725" s="194"/>
      <c r="E725" s="198" t="s">
        <v>828</v>
      </c>
      <c r="F725" s="199" t="s">
        <v>67</v>
      </c>
      <c r="G725" s="199">
        <f>G14/2*1000</f>
        <v>100</v>
      </c>
      <c r="H725" s="194" t="s">
        <v>80</v>
      </c>
      <c r="I725" s="235"/>
      <c r="J725" s="235"/>
      <c r="K725" s="235"/>
      <c r="L725" s="235"/>
      <c r="M725" s="30"/>
      <c r="N725" s="30"/>
      <c r="O725" s="30"/>
      <c r="P725" s="30"/>
      <c r="Q725" s="30"/>
      <c r="R725" s="30"/>
      <c r="S725" s="30"/>
    </row>
    <row r="726" spans="1:19" ht="18">
      <c r="A726" s="194"/>
      <c r="B726" s="194" t="s">
        <v>847</v>
      </c>
      <c r="C726" s="194"/>
      <c r="D726" s="194"/>
      <c r="E726" s="198" t="s">
        <v>850</v>
      </c>
      <c r="F726" s="199" t="s">
        <v>67</v>
      </c>
      <c r="G726" s="200">
        <f>G729*1000+G14*1000</f>
        <v>405.03199999999998</v>
      </c>
      <c r="H726" s="194" t="s">
        <v>80</v>
      </c>
      <c r="I726" s="243" t="s">
        <v>848</v>
      </c>
      <c r="J726" s="243"/>
      <c r="K726" s="243"/>
      <c r="L726" s="243"/>
      <c r="M726" s="30"/>
      <c r="N726" s="30"/>
      <c r="O726" s="30"/>
      <c r="P726" s="30"/>
      <c r="Q726" s="30"/>
      <c r="R726" s="30"/>
      <c r="S726" s="30"/>
    </row>
    <row r="727" spans="1:19" ht="16.5">
      <c r="A727" s="194"/>
      <c r="B727" s="194"/>
      <c r="C727" s="194"/>
      <c r="D727" s="194"/>
      <c r="E727" s="198"/>
      <c r="F727" s="199"/>
      <c r="G727" s="199"/>
      <c r="H727" s="194"/>
      <c r="I727" s="243"/>
      <c r="J727" s="243"/>
      <c r="K727" s="243"/>
      <c r="L727" s="243"/>
      <c r="M727" s="30"/>
      <c r="N727" s="30"/>
      <c r="O727" s="30"/>
      <c r="P727" s="30"/>
      <c r="Q727" s="30"/>
      <c r="R727" s="30"/>
      <c r="S727" s="30"/>
    </row>
    <row r="728" spans="1:19" ht="18.75">
      <c r="A728" s="194"/>
      <c r="B728" s="194" t="s">
        <v>155</v>
      </c>
      <c r="C728" s="194"/>
      <c r="D728" s="194"/>
      <c r="E728" s="198" t="s">
        <v>156</v>
      </c>
      <c r="F728" s="199" t="s">
        <v>67</v>
      </c>
      <c r="G728" s="199">
        <f>G70</f>
        <v>0.20374</v>
      </c>
      <c r="H728" s="194" t="s">
        <v>127</v>
      </c>
      <c r="I728" s="214"/>
      <c r="J728" s="194"/>
      <c r="K728" s="194"/>
      <c r="L728" s="194"/>
      <c r="M728" s="30"/>
      <c r="N728" s="30"/>
      <c r="O728" s="30"/>
      <c r="P728" s="30"/>
      <c r="Q728" s="30"/>
      <c r="R728" s="30"/>
      <c r="S728" s="30"/>
    </row>
    <row r="729" spans="1:19" ht="18">
      <c r="A729" s="194"/>
      <c r="B729" s="194" t="s">
        <v>834</v>
      </c>
      <c r="C729" s="194"/>
      <c r="D729" s="194"/>
      <c r="E729" s="198" t="s">
        <v>189</v>
      </c>
      <c r="F729" s="199" t="s">
        <v>67</v>
      </c>
      <c r="G729" s="199">
        <f>G71</f>
        <v>0.20503199999999999</v>
      </c>
      <c r="H729" s="194" t="s">
        <v>98</v>
      </c>
      <c r="I729" s="214"/>
      <c r="J729" s="194"/>
      <c r="K729" s="194"/>
      <c r="L729" s="194"/>
      <c r="M729" s="30"/>
      <c r="N729" s="30"/>
      <c r="O729" s="30"/>
      <c r="P729" s="30"/>
      <c r="Q729" s="30"/>
      <c r="R729" s="30"/>
      <c r="S729" s="30"/>
    </row>
    <row r="730" spans="1:19" ht="18.75">
      <c r="A730" s="194"/>
      <c r="B730" s="194" t="s">
        <v>833</v>
      </c>
      <c r="C730" s="194"/>
      <c r="D730" s="194"/>
      <c r="E730" s="198" t="s">
        <v>190</v>
      </c>
      <c r="F730" s="199" t="s">
        <v>67</v>
      </c>
      <c r="G730" s="236">
        <f>G72</f>
        <v>4.2814000000000003E-3</v>
      </c>
      <c r="H730" s="194" t="s">
        <v>130</v>
      </c>
      <c r="I730" s="214"/>
      <c r="J730" s="194"/>
      <c r="K730" s="194"/>
      <c r="L730" s="194"/>
      <c r="M730" s="30"/>
      <c r="N730" s="30"/>
      <c r="O730" s="30"/>
      <c r="P730" s="30"/>
      <c r="Q730" s="30"/>
      <c r="R730" s="30"/>
      <c r="S730" s="30"/>
    </row>
    <row r="731" spans="1:19" ht="18.75">
      <c r="A731" s="194"/>
      <c r="B731" s="194" t="s">
        <v>841</v>
      </c>
      <c r="C731" s="194"/>
      <c r="D731" s="194"/>
      <c r="E731" s="198" t="s">
        <v>842</v>
      </c>
      <c r="F731" s="199" t="s">
        <v>67</v>
      </c>
      <c r="G731" s="237">
        <f>G728/2</f>
        <v>0.10187</v>
      </c>
      <c r="H731" s="194" t="s">
        <v>127</v>
      </c>
      <c r="I731" s="194"/>
      <c r="J731" s="194"/>
      <c r="K731" s="194"/>
      <c r="L731" s="194"/>
      <c r="M731" s="30"/>
      <c r="N731" s="30"/>
      <c r="O731" s="30"/>
      <c r="P731" s="30"/>
      <c r="Q731" s="30"/>
      <c r="R731" s="30"/>
      <c r="S731" s="30"/>
    </row>
    <row r="732" spans="1:19" ht="18">
      <c r="A732" s="194"/>
      <c r="B732" s="214" t="s">
        <v>843</v>
      </c>
      <c r="C732" s="194"/>
      <c r="D732" s="194"/>
      <c r="E732" s="198" t="s">
        <v>844</v>
      </c>
      <c r="F732" s="199" t="s">
        <v>67</v>
      </c>
      <c r="G732" s="53">
        <v>0.13600000000000001</v>
      </c>
      <c r="H732" s="194" t="s">
        <v>98</v>
      </c>
      <c r="I732" s="194"/>
      <c r="J732" s="194"/>
      <c r="K732" s="194"/>
      <c r="L732" s="194"/>
      <c r="M732" s="75" t="s">
        <v>969</v>
      </c>
      <c r="N732" s="30"/>
      <c r="O732" s="30"/>
      <c r="P732" s="30"/>
      <c r="Q732" s="30"/>
      <c r="R732" s="30"/>
      <c r="S732" s="30"/>
    </row>
    <row r="733" spans="1:19" ht="18.75">
      <c r="A733" s="194"/>
      <c r="B733" s="194" t="s">
        <v>845</v>
      </c>
      <c r="C733" s="194"/>
      <c r="D733" s="194"/>
      <c r="E733" s="198" t="s">
        <v>846</v>
      </c>
      <c r="F733" s="199" t="s">
        <v>67</v>
      </c>
      <c r="G733" s="199">
        <f>G731*G732</f>
        <v>1.3854320000000002E-2</v>
      </c>
      <c r="H733" s="194" t="s">
        <v>131</v>
      </c>
      <c r="I733" s="194"/>
      <c r="J733" s="194"/>
      <c r="K733" s="194"/>
      <c r="L733" s="194"/>
      <c r="M733" s="30"/>
      <c r="N733" s="30"/>
      <c r="O733" s="30"/>
      <c r="P733" s="30"/>
      <c r="Q733" s="30"/>
      <c r="R733" s="30"/>
      <c r="S733" s="30"/>
    </row>
    <row r="734" spans="1:19" ht="7.5" customHeight="1">
      <c r="A734" s="194"/>
      <c r="B734" s="194"/>
      <c r="C734" s="194"/>
      <c r="D734" s="194"/>
      <c r="E734" s="194"/>
      <c r="F734" s="194"/>
      <c r="G734" s="194"/>
      <c r="H734" s="194"/>
      <c r="I734" s="194"/>
      <c r="J734" s="194"/>
      <c r="K734" s="194"/>
      <c r="L734" s="194"/>
      <c r="M734" s="30"/>
      <c r="N734" s="30"/>
      <c r="O734" s="30"/>
      <c r="P734" s="30"/>
      <c r="Q734" s="30"/>
      <c r="R734" s="30"/>
      <c r="S734" s="30"/>
    </row>
    <row r="735" spans="1:19" ht="16.5">
      <c r="A735" s="194" t="s">
        <v>851</v>
      </c>
      <c r="B735" s="194"/>
      <c r="C735" s="194"/>
      <c r="D735" s="194"/>
      <c r="E735" s="194"/>
      <c r="F735" s="194"/>
      <c r="G735" s="194"/>
      <c r="H735" s="194"/>
      <c r="I735" s="194"/>
      <c r="J735" s="194"/>
      <c r="K735" s="194"/>
      <c r="L735" s="194"/>
      <c r="M735" s="30"/>
      <c r="N735" s="30"/>
      <c r="O735" s="30"/>
      <c r="P735" s="30"/>
      <c r="Q735" s="30"/>
      <c r="R735" s="30"/>
      <c r="S735" s="30"/>
    </row>
    <row r="736" spans="1:19" ht="18">
      <c r="A736" s="194"/>
      <c r="B736" s="214" t="s">
        <v>852</v>
      </c>
      <c r="C736" s="194"/>
      <c r="D736" s="194"/>
      <c r="E736" s="202" t="s">
        <v>853</v>
      </c>
      <c r="F736" s="199" t="s">
        <v>67</v>
      </c>
      <c r="G736" s="207">
        <f>IF(G726/G724&lt;1,G726/G724,1)</f>
        <v>0.35969425428861651</v>
      </c>
      <c r="H736" s="194" t="s">
        <v>199</v>
      </c>
      <c r="I736" s="202" t="s">
        <v>854</v>
      </c>
      <c r="J736" s="194"/>
      <c r="K736" s="194"/>
      <c r="L736" s="194"/>
      <c r="M736" s="30"/>
      <c r="N736" s="30"/>
      <c r="O736" s="30"/>
      <c r="P736" s="30"/>
      <c r="Q736" s="30"/>
      <c r="R736" s="30"/>
      <c r="S736" s="30"/>
    </row>
    <row r="737" spans="1:19" ht="18.75">
      <c r="A737" s="194"/>
      <c r="B737" s="194" t="s">
        <v>856</v>
      </c>
      <c r="C737" s="194"/>
      <c r="D737" s="194"/>
      <c r="E737" s="212" t="s">
        <v>855</v>
      </c>
      <c r="F737" s="199" t="s">
        <v>67</v>
      </c>
      <c r="G737" s="207">
        <f>G721*0.001/G728</f>
        <v>5.7062723688353314</v>
      </c>
      <c r="H737" s="194" t="s">
        <v>69</v>
      </c>
      <c r="I737" s="238" t="s">
        <v>857</v>
      </c>
      <c r="J737" s="194"/>
      <c r="K737" s="194"/>
      <c r="L737" s="194"/>
      <c r="M737" s="30"/>
      <c r="N737" s="30"/>
      <c r="O737" s="30"/>
      <c r="P737" s="30"/>
      <c r="Q737" s="30"/>
      <c r="R737" s="30"/>
      <c r="S737" s="30"/>
    </row>
    <row r="738" spans="1:19" ht="16.5">
      <c r="A738" s="194"/>
      <c r="B738" s="194" t="s">
        <v>858</v>
      </c>
      <c r="C738" s="194"/>
      <c r="D738" s="194"/>
      <c r="E738" s="198" t="s">
        <v>77</v>
      </c>
      <c r="F738" s="199" t="s">
        <v>67</v>
      </c>
      <c r="G738" s="200">
        <f>G47</f>
        <v>1.8</v>
      </c>
      <c r="H738" s="194" t="s">
        <v>69</v>
      </c>
      <c r="I738" s="194"/>
      <c r="J738" s="194"/>
      <c r="K738" s="194"/>
      <c r="L738" s="194"/>
      <c r="M738" s="30"/>
      <c r="N738" s="30"/>
      <c r="O738" s="30"/>
      <c r="P738" s="30"/>
      <c r="Q738" s="30"/>
      <c r="R738" s="30"/>
      <c r="S738" s="30"/>
    </row>
    <row r="739" spans="1:19" ht="18">
      <c r="A739" s="194"/>
      <c r="B739" s="194" t="s">
        <v>859</v>
      </c>
      <c r="C739" s="194"/>
      <c r="D739" s="194"/>
      <c r="E739" s="198" t="s">
        <v>860</v>
      </c>
      <c r="F739" s="199" t="s">
        <v>67</v>
      </c>
      <c r="G739" s="200">
        <f>(G730*G669*0.001/G733)*POWER((G738*G738+G736*G737*G738),0.5)*1000</f>
        <v>199.37697626074177</v>
      </c>
      <c r="H739" s="194" t="s">
        <v>119</v>
      </c>
      <c r="I739" s="194"/>
      <c r="J739" s="194"/>
      <c r="K739" s="194"/>
      <c r="L739" s="204" t="s">
        <v>861</v>
      </c>
      <c r="M739" s="30"/>
      <c r="N739" s="30"/>
      <c r="O739" s="30"/>
      <c r="P739" s="30"/>
      <c r="Q739" s="30"/>
      <c r="R739" s="30"/>
      <c r="S739" s="30"/>
    </row>
    <row r="740" spans="1:19" ht="17.25" thickBot="1">
      <c r="A740" s="194"/>
      <c r="B740" s="194"/>
      <c r="C740" s="194"/>
      <c r="D740" s="194"/>
      <c r="E740" s="194"/>
      <c r="F740" s="194"/>
      <c r="G740" s="194"/>
      <c r="H740" s="194"/>
      <c r="I740" s="194"/>
      <c r="J740" s="194"/>
      <c r="K740" s="194"/>
      <c r="L740" s="194"/>
      <c r="M740" s="30"/>
      <c r="N740" s="30"/>
      <c r="O740" s="30"/>
      <c r="P740" s="30"/>
      <c r="Q740" s="30"/>
      <c r="R740" s="30"/>
      <c r="S740" s="30"/>
    </row>
    <row r="741" spans="1:19" ht="18">
      <c r="A741" s="194"/>
      <c r="B741" s="216" t="s">
        <v>862</v>
      </c>
      <c r="C741" s="221"/>
      <c r="D741" s="221"/>
      <c r="E741" s="218" t="s">
        <v>863</v>
      </c>
      <c r="F741" s="219" t="s">
        <v>67</v>
      </c>
      <c r="G741" s="239">
        <f>G739</f>
        <v>199.37697626074177</v>
      </c>
      <c r="H741" s="217" t="s">
        <v>119</v>
      </c>
      <c r="I741" s="221"/>
      <c r="J741" s="221"/>
      <c r="K741" s="221"/>
      <c r="L741" s="222"/>
      <c r="M741" s="30"/>
      <c r="N741" s="30"/>
      <c r="O741" s="30"/>
      <c r="P741" s="30"/>
      <c r="Q741" s="30"/>
      <c r="R741" s="30"/>
      <c r="S741" s="30"/>
    </row>
    <row r="742" spans="1:19" ht="18">
      <c r="A742" s="194"/>
      <c r="B742" s="240"/>
      <c r="C742" s="229"/>
      <c r="D742" s="229"/>
      <c r="E742" s="225" t="s">
        <v>863</v>
      </c>
      <c r="F742" s="226" t="str">
        <f>IF(G741&gt;G719,"&gt;","&lt;")</f>
        <v>&gt;</v>
      </c>
      <c r="G742" s="227" t="s">
        <v>866</v>
      </c>
      <c r="H742" s="228">
        <f>G719</f>
        <v>103.91840250000001</v>
      </c>
      <c r="I742" s="224" t="s">
        <v>279</v>
      </c>
      <c r="J742" s="229"/>
      <c r="K742" s="229"/>
      <c r="L742" s="230"/>
      <c r="M742" s="30"/>
      <c r="N742" s="30"/>
      <c r="O742" s="30"/>
      <c r="P742" s="30"/>
      <c r="Q742" s="30"/>
      <c r="R742" s="30"/>
      <c r="S742" s="30"/>
    </row>
    <row r="743" spans="1:19" ht="17.25" thickBot="1">
      <c r="A743" s="194"/>
      <c r="B743" s="231"/>
      <c r="C743" s="232"/>
      <c r="D743" s="232"/>
      <c r="E743" s="232"/>
      <c r="F743" s="232"/>
      <c r="G743" s="233" t="str">
        <f>IF(F742="&gt;","VYHOVUJE NA MSÚ","NEVYHOVUJE!!!")</f>
        <v>VYHOVUJE NA MSÚ</v>
      </c>
      <c r="H743" s="232"/>
      <c r="I743" s="232"/>
      <c r="J743" s="232"/>
      <c r="K743" s="232"/>
      <c r="L743" s="234"/>
      <c r="M743" s="30"/>
      <c r="N743" s="30"/>
      <c r="O743" s="30"/>
      <c r="P743" s="30"/>
      <c r="Q743" s="30"/>
      <c r="R743" s="30"/>
      <c r="S743" s="30"/>
    </row>
    <row r="744" spans="1:19" ht="16.5">
      <c r="A744" s="194"/>
      <c r="B744" s="194"/>
      <c r="C744" s="194"/>
      <c r="D744" s="194"/>
      <c r="E744" s="194"/>
      <c r="F744" s="194"/>
      <c r="G744" s="194"/>
      <c r="H744" s="194"/>
      <c r="I744" s="194"/>
      <c r="J744" s="194"/>
      <c r="K744" s="194"/>
      <c r="L744" s="194"/>
      <c r="M744" s="30"/>
      <c r="N744" s="30"/>
      <c r="O744" s="30"/>
      <c r="P744" s="30"/>
      <c r="Q744" s="30"/>
      <c r="R744" s="30"/>
      <c r="S744" s="30"/>
    </row>
    <row r="745" spans="1:19" ht="16.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</row>
    <row r="746" spans="1:19" ht="16.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</row>
    <row r="747" spans="1:19" ht="16.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</row>
    <row r="748" spans="1:19" ht="16.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</row>
    <row r="749" spans="1:19" ht="16.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</row>
    <row r="750" spans="1:19" ht="16.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</row>
    <row r="751" spans="1:19" ht="16.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</row>
    <row r="752" spans="1:19" ht="16.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</row>
    <row r="753" spans="1:19" ht="16.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</row>
    <row r="754" spans="1:19" ht="16.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</row>
    <row r="755" spans="1:19" ht="16.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</row>
    <row r="756" spans="1:19" ht="16.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</row>
    <row r="757" spans="1:19" ht="16.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</row>
    <row r="758" spans="1:19" ht="16.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</row>
    <row r="759" spans="1:19" ht="16.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</row>
    <row r="760" spans="1:19" ht="16.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</row>
    <row r="761" spans="1:19" ht="16.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</row>
  </sheetData>
  <sheetProtection password="C724" sheet="1" objects="1" scenarios="1" selectLockedCells="1"/>
  <customSheetViews>
    <customSheetView guid="{292F2AC6-798D-463B-8F80-590EE4A0FC51}" showPageBreaks="1" printArea="1" view="pageBreakPreview">
      <selection activeCell="G6" sqref="G6"/>
      <rowBreaks count="14" manualBreakCount="14">
        <brk id="62" max="11" man="1"/>
        <brk id="125" max="11" man="1"/>
        <brk id="181" max="11" man="1"/>
        <brk id="205" max="11" man="1"/>
        <brk id="250" max="11" man="1"/>
        <brk id="312" max="11" man="1"/>
        <brk id="378" max="11" man="1"/>
        <brk id="424" max="11" man="1"/>
        <brk id="478" max="11" man="1"/>
        <brk id="538" max="11" man="1"/>
        <brk id="568" max="11" man="1"/>
        <brk id="622" max="11" man="1"/>
        <brk id="649" max="11" man="1"/>
        <brk id="709" max="11" man="1"/>
      </rowBreaks>
      <colBreaks count="1" manualBreakCount="1">
        <brk id="12" max="1048575" man="1"/>
      </colBreaks>
      <pageMargins left="0.69" right="0.35" top="0.32" bottom="0.27" header="0.31496062992125984" footer="0.31496062992125984"/>
      <pageSetup paperSize="9" scale="75" orientation="portrait" blackAndWhite="1" horizontalDpi="1200" verticalDpi="1200" r:id="rId1"/>
    </customSheetView>
  </customSheetViews>
  <mergeCells count="7">
    <mergeCell ref="A3:L3"/>
    <mergeCell ref="I726:L727"/>
    <mergeCell ref="I304:L305"/>
    <mergeCell ref="I319:L320"/>
    <mergeCell ref="I362:L363"/>
    <mergeCell ref="I490:L491"/>
    <mergeCell ref="I552:L553"/>
  </mergeCells>
  <pageMargins left="0.69" right="0.35" top="0.32" bottom="0.27" header="0.31496062992125984" footer="0.31496062992125984"/>
  <pageSetup paperSize="9" scale="75" orientation="portrait" blackAndWhite="1" horizontalDpi="1200" verticalDpi="1200" r:id="rId2"/>
  <rowBreaks count="14" manualBreakCount="14">
    <brk id="67" max="11" man="1"/>
    <brk id="130" max="11" man="1"/>
    <brk id="186" max="11" man="1"/>
    <brk id="210" max="11" man="1"/>
    <brk id="255" max="11" man="1"/>
    <brk id="317" max="11" man="1"/>
    <brk id="383" max="11" man="1"/>
    <brk id="429" max="11" man="1"/>
    <brk id="483" max="11" man="1"/>
    <brk id="543" max="11" man="1"/>
    <brk id="573" max="11" man="1"/>
    <brk id="627" max="11" man="1"/>
    <brk id="654" max="11" man="1"/>
    <brk id="714" max="11" man="1"/>
  </rowBreaks>
  <colBreaks count="1" manualBreakCount="1">
    <brk id="12" max="1048575" man="1"/>
  </colBreaks>
  <drawing r:id="rId3"/>
  <legacyDrawing r:id="rId4"/>
  <oleObjects>
    <oleObject progId="Equation.3" shapeId="1035" r:id="rId5"/>
    <oleObject progId="Equation.3" shapeId="1062" r:id="rId6"/>
    <oleObject progId="Equation.3" shapeId="1067" r:id="rId7"/>
    <oleObject progId="Equation.3" shapeId="1070" r:id="rId8"/>
    <oleObject progId="Equation.3" shapeId="1074" r:id="rId9"/>
    <oleObject progId="Equation.3" shapeId="1076" r:id="rId10"/>
    <oleObject progId="Equation.3" shapeId="1078" r:id="rId11"/>
    <oleObject progId="Equation.3" shapeId="1084" r:id="rId12"/>
    <oleObject progId="Equation.3" shapeId="1086" r:id="rId13"/>
    <oleObject progId="Equation.3" shapeId="1087" r:id="rId14"/>
    <oleObject progId="Equation.3" shapeId="1116" r:id="rId15"/>
    <oleObject progId="Equation.3" shapeId="1121" r:id="rId16"/>
    <oleObject progId="Equation.3" shapeId="1122" r:id="rId17"/>
    <oleObject progId="Equation.3" shapeId="1123" r:id="rId18"/>
    <oleObject progId="Equation.3" shapeId="1124" r:id="rId19"/>
    <oleObject progId="Equation.3" shapeId="1135" r:id="rId20"/>
    <oleObject progId="Equation.3" shapeId="1140" r:id="rId21"/>
    <oleObject progId="Equation.3" shapeId="1157" r:id="rId22"/>
    <oleObject progId="Equation.3" shapeId="1159" r:id="rId23"/>
    <oleObject progId="Equation.3" shapeId="1165" r:id="rId24"/>
    <oleObject progId="Equation.3" shapeId="1166" r:id="rId25"/>
    <oleObject progId="Equation.3" shapeId="1168" r:id="rId26"/>
    <oleObject progId="Equation.3" shapeId="1179" r:id="rId27"/>
    <oleObject progId="Equation.3" shapeId="1181" r:id="rId28"/>
    <oleObject progId="Equation.3" shapeId="1182" r:id="rId29"/>
    <oleObject progId="Equation.3" shapeId="1194" r:id="rId30"/>
    <oleObject progId="Equation.3" shapeId="1205" r:id="rId31"/>
    <oleObject progId="Equation.3" shapeId="1207" r:id="rId32"/>
    <oleObject progId="Equation.3" shapeId="1208" r:id="rId33"/>
    <oleObject progId="Equation.3" shapeId="1209" r:id="rId34"/>
    <oleObject progId="Equation.3" shapeId="1211" r:id="rId35"/>
    <oleObject progId="Equation.3" shapeId="1212" r:id="rId36"/>
    <oleObject progId="Equation.3" shapeId="1222" r:id="rId37"/>
    <oleObject progId="Equation.3" shapeId="1223" r:id="rId38"/>
    <oleObject progId="Equation.3" shapeId="1224" r:id="rId39"/>
    <oleObject progId="Equation.3" shapeId="1226" r:id="rId40"/>
    <oleObject progId="Equation.3" shapeId="1227" r:id="rId41"/>
    <oleObject progId="Equation.3" shapeId="1228" r:id="rId42"/>
    <oleObject progId="Equation.3" shapeId="1231" r:id="rId43"/>
    <oleObject progId="Equation.3" shapeId="1232" r:id="rId44"/>
    <oleObject progId="Equation.3" shapeId="1236" r:id="rId45"/>
    <oleObject progId="Equation.3" shapeId="1238" r:id="rId46"/>
    <oleObject progId="Equation.3" shapeId="1239" r:id="rId47"/>
    <oleObject progId="Equation.3" shapeId="1243" r:id="rId48"/>
    <oleObject progId="Equation.3" shapeId="1244" r:id="rId49"/>
    <oleObject progId="Equation.3" shapeId="1246" r:id="rId50"/>
    <oleObject progId="Equation.3" shapeId="1247" r:id="rId51"/>
    <oleObject progId="Equation.3" shapeId="1248" r:id="rId52"/>
    <oleObject progId="Equation.3" shapeId="1249" r:id="rId53"/>
    <oleObject progId="Equation.3" shapeId="1250" r:id="rId54"/>
    <oleObject progId="Equation.3" shapeId="1252" r:id="rId55"/>
    <oleObject progId="Equation.3" shapeId="1253" r:id="rId56"/>
    <oleObject progId="Equation.3" shapeId="1265" r:id="rId57"/>
    <oleObject progId="Equation.3" shapeId="1269" r:id="rId58"/>
    <oleObject progId="Equation.3" shapeId="1272" r:id="rId59"/>
    <oleObject progId="Equation.3" shapeId="1301" r:id="rId60"/>
    <oleObject progId="Equation.3" shapeId="1313" r:id="rId61"/>
    <oleObject progId="Equation.3" shapeId="1315" r:id="rId62"/>
    <oleObject progId="Equation.3" shapeId="1336" r:id="rId6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O48"/>
  <sheetViews>
    <sheetView workbookViewId="0">
      <selection activeCell="O40" sqref="O40"/>
    </sheetView>
  </sheetViews>
  <sheetFormatPr defaultRowHeight="15"/>
  <cols>
    <col min="2" max="2" width="17.28515625" customWidth="1"/>
  </cols>
  <sheetData>
    <row r="1" spans="1:15">
      <c r="A1" s="2"/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/>
      <c r="O1" s="3"/>
    </row>
    <row r="2" spans="1:15" ht="15.75">
      <c r="A2" s="2"/>
      <c r="B2" s="3" t="s">
        <v>3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4" t="s">
        <v>22</v>
      </c>
      <c r="J2" s="5" t="s">
        <v>23</v>
      </c>
      <c r="K2" s="5" t="s">
        <v>24</v>
      </c>
      <c r="L2" s="2" t="s">
        <v>25</v>
      </c>
      <c r="M2" s="2" t="s">
        <v>26</v>
      </c>
      <c r="N2" s="2" t="s">
        <v>27</v>
      </c>
      <c r="O2" s="6" t="s">
        <v>28</v>
      </c>
    </row>
    <row r="3" spans="1:15">
      <c r="A3" s="2">
        <v>1</v>
      </c>
      <c r="B3" s="3" t="s">
        <v>29</v>
      </c>
      <c r="C3" s="7">
        <v>12</v>
      </c>
      <c r="D3" s="7">
        <v>15</v>
      </c>
      <c r="E3" s="7">
        <v>20</v>
      </c>
      <c r="F3" s="7">
        <v>1.6</v>
      </c>
      <c r="G3" s="7">
        <v>1.1000000000000001</v>
      </c>
      <c r="H3" s="7">
        <v>2</v>
      </c>
      <c r="I3" s="7">
        <v>27</v>
      </c>
      <c r="J3" s="8">
        <v>1.75</v>
      </c>
      <c r="K3" s="9">
        <v>3.5</v>
      </c>
      <c r="L3" s="2">
        <v>0.2</v>
      </c>
      <c r="M3" s="2">
        <v>2500</v>
      </c>
      <c r="N3" s="10">
        <v>1.2E-5</v>
      </c>
      <c r="O3" s="11" t="s">
        <v>30</v>
      </c>
    </row>
    <row r="4" spans="1:15">
      <c r="A4" s="2">
        <v>2</v>
      </c>
      <c r="B4" s="3" t="s">
        <v>31</v>
      </c>
      <c r="C4" s="7">
        <v>16</v>
      </c>
      <c r="D4" s="7">
        <v>20</v>
      </c>
      <c r="E4" s="7">
        <v>24</v>
      </c>
      <c r="F4" s="7">
        <v>1.9</v>
      </c>
      <c r="G4" s="7">
        <v>1.3</v>
      </c>
      <c r="H4" s="7">
        <v>2.5</v>
      </c>
      <c r="I4" s="7">
        <v>29</v>
      </c>
      <c r="J4" s="8">
        <v>1.75</v>
      </c>
      <c r="K4" s="9">
        <v>3.5</v>
      </c>
      <c r="L4" s="2">
        <v>0.2</v>
      </c>
      <c r="M4" s="2">
        <v>2500</v>
      </c>
      <c r="N4" s="10">
        <v>1.2E-5</v>
      </c>
      <c r="O4" s="11" t="s">
        <v>32</v>
      </c>
    </row>
    <row r="5" spans="1:15">
      <c r="A5" s="2">
        <v>3</v>
      </c>
      <c r="B5" s="3" t="s">
        <v>33</v>
      </c>
      <c r="C5" s="7">
        <v>20</v>
      </c>
      <c r="D5" s="7">
        <v>25</v>
      </c>
      <c r="E5" s="7">
        <v>28</v>
      </c>
      <c r="F5" s="7">
        <v>2.2000000000000002</v>
      </c>
      <c r="G5" s="7">
        <v>1.5</v>
      </c>
      <c r="H5" s="7">
        <v>2.9</v>
      </c>
      <c r="I5" s="7">
        <v>30</v>
      </c>
      <c r="J5" s="8">
        <v>1.75</v>
      </c>
      <c r="K5" s="9">
        <v>3.5</v>
      </c>
      <c r="L5" s="2">
        <v>0.2</v>
      </c>
      <c r="M5" s="2">
        <v>2500</v>
      </c>
      <c r="N5" s="10">
        <v>1.2E-5</v>
      </c>
      <c r="O5" s="11" t="s">
        <v>34</v>
      </c>
    </row>
    <row r="6" spans="1:15">
      <c r="A6" s="2">
        <v>4</v>
      </c>
      <c r="B6" s="3" t="s">
        <v>35</v>
      </c>
      <c r="C6" s="7">
        <v>25</v>
      </c>
      <c r="D6" s="7">
        <v>30</v>
      </c>
      <c r="E6" s="7">
        <v>33</v>
      </c>
      <c r="F6" s="7">
        <v>2.6</v>
      </c>
      <c r="G6" s="7">
        <v>1.8</v>
      </c>
      <c r="H6" s="7">
        <v>3.3</v>
      </c>
      <c r="I6" s="7">
        <v>31</v>
      </c>
      <c r="J6" s="8">
        <v>1.75</v>
      </c>
      <c r="K6" s="9">
        <v>3.5</v>
      </c>
      <c r="L6" s="2">
        <v>0.2</v>
      </c>
      <c r="M6" s="2">
        <v>2500</v>
      </c>
      <c r="N6" s="10">
        <v>1.2E-5</v>
      </c>
      <c r="O6" s="11" t="s">
        <v>36</v>
      </c>
    </row>
    <row r="7" spans="1:15">
      <c r="A7" s="2">
        <v>5</v>
      </c>
      <c r="B7" s="3" t="s">
        <v>37</v>
      </c>
      <c r="C7" s="7">
        <v>30</v>
      </c>
      <c r="D7" s="7">
        <v>37</v>
      </c>
      <c r="E7" s="7">
        <v>38</v>
      </c>
      <c r="F7" s="7">
        <v>2.9</v>
      </c>
      <c r="G7" s="7">
        <v>2</v>
      </c>
      <c r="H7" s="7">
        <v>3.8</v>
      </c>
      <c r="I7" s="7">
        <v>33</v>
      </c>
      <c r="J7" s="8">
        <v>1.75</v>
      </c>
      <c r="K7" s="9">
        <v>3.5</v>
      </c>
      <c r="L7" s="2">
        <v>0.2</v>
      </c>
      <c r="M7" s="2">
        <v>2500</v>
      </c>
      <c r="N7" s="10">
        <v>1.2E-5</v>
      </c>
      <c r="O7" s="11" t="s">
        <v>38</v>
      </c>
    </row>
    <row r="8" spans="1:15">
      <c r="A8" s="2">
        <v>6</v>
      </c>
      <c r="B8" s="3" t="s">
        <v>39</v>
      </c>
      <c r="C8" s="7">
        <v>35</v>
      </c>
      <c r="D8" s="7">
        <v>45</v>
      </c>
      <c r="E8" s="7">
        <v>43</v>
      </c>
      <c r="F8" s="7">
        <v>3.2</v>
      </c>
      <c r="G8" s="7">
        <v>2.2000000000000002</v>
      </c>
      <c r="H8" s="7">
        <v>4.2</v>
      </c>
      <c r="I8" s="7">
        <v>34</v>
      </c>
      <c r="J8" s="8">
        <v>1.75</v>
      </c>
      <c r="K8" s="9">
        <v>3.5</v>
      </c>
      <c r="L8" s="2">
        <v>0.2</v>
      </c>
      <c r="M8" s="2">
        <v>2500</v>
      </c>
      <c r="N8" s="10">
        <v>1.2E-5</v>
      </c>
      <c r="O8" s="11" t="s">
        <v>40</v>
      </c>
    </row>
    <row r="9" spans="1:15">
      <c r="A9" s="2">
        <v>7</v>
      </c>
      <c r="B9" s="3" t="s">
        <v>41</v>
      </c>
      <c r="C9" s="7">
        <v>40</v>
      </c>
      <c r="D9" s="7">
        <v>50</v>
      </c>
      <c r="E9" s="7">
        <v>48</v>
      </c>
      <c r="F9" s="7">
        <v>3.5</v>
      </c>
      <c r="G9" s="7">
        <v>2.5</v>
      </c>
      <c r="H9" s="7">
        <v>4.5999999999999996</v>
      </c>
      <c r="I9" s="7">
        <v>35</v>
      </c>
      <c r="J9" s="8">
        <v>1.75</v>
      </c>
      <c r="K9" s="9">
        <v>3.5</v>
      </c>
      <c r="L9" s="2">
        <v>0.2</v>
      </c>
      <c r="M9" s="2">
        <v>2500</v>
      </c>
      <c r="N9" s="10">
        <v>1.2E-5</v>
      </c>
      <c r="O9" s="11" t="s">
        <v>42</v>
      </c>
    </row>
    <row r="10" spans="1:15">
      <c r="A10" s="2">
        <v>8</v>
      </c>
      <c r="B10" s="3" t="s">
        <v>43</v>
      </c>
      <c r="C10" s="7">
        <v>45</v>
      </c>
      <c r="D10" s="7">
        <v>55</v>
      </c>
      <c r="E10" s="7">
        <v>53</v>
      </c>
      <c r="F10" s="7">
        <v>3.8</v>
      </c>
      <c r="G10" s="7">
        <v>2.7</v>
      </c>
      <c r="H10" s="7">
        <v>4.9000000000000004</v>
      </c>
      <c r="I10" s="7">
        <v>36</v>
      </c>
      <c r="J10" s="8">
        <v>1.75</v>
      </c>
      <c r="K10" s="9">
        <v>3.5</v>
      </c>
      <c r="L10" s="2">
        <v>0.2</v>
      </c>
      <c r="M10" s="2">
        <v>2500</v>
      </c>
      <c r="N10" s="10">
        <v>1.2E-5</v>
      </c>
      <c r="O10" s="11" t="s">
        <v>44</v>
      </c>
    </row>
    <row r="11" spans="1:15">
      <c r="A11" s="2">
        <v>9</v>
      </c>
      <c r="B11" s="3" t="s">
        <v>45</v>
      </c>
      <c r="C11" s="7">
        <v>50</v>
      </c>
      <c r="D11" s="7">
        <v>60</v>
      </c>
      <c r="E11" s="7">
        <v>58</v>
      </c>
      <c r="F11" s="7">
        <v>4.0999999999999996</v>
      </c>
      <c r="G11" s="7">
        <v>2.9</v>
      </c>
      <c r="H11" s="7">
        <v>5.3</v>
      </c>
      <c r="I11" s="7">
        <v>37</v>
      </c>
      <c r="J11" s="8">
        <v>1.75</v>
      </c>
      <c r="K11" s="9">
        <v>3.5</v>
      </c>
      <c r="L11" s="2">
        <v>0.2</v>
      </c>
      <c r="M11" s="2">
        <v>2500</v>
      </c>
      <c r="N11" s="10">
        <v>1.2E-5</v>
      </c>
      <c r="O11" s="11" t="s">
        <v>46</v>
      </c>
    </row>
    <row r="12" spans="1:15">
      <c r="A12" s="2">
        <v>10</v>
      </c>
      <c r="B12" s="3" t="s">
        <v>47</v>
      </c>
      <c r="C12" s="7">
        <v>55</v>
      </c>
      <c r="D12" s="7">
        <v>67</v>
      </c>
      <c r="E12" s="7">
        <v>63</v>
      </c>
      <c r="F12" s="7">
        <v>4.2</v>
      </c>
      <c r="G12" s="7">
        <v>3</v>
      </c>
      <c r="H12" s="7">
        <v>5.5</v>
      </c>
      <c r="I12" s="7">
        <v>38</v>
      </c>
      <c r="J12" s="8">
        <v>1.8</v>
      </c>
      <c r="K12" s="8">
        <v>3.1</v>
      </c>
      <c r="L12" s="2">
        <v>0.2</v>
      </c>
      <c r="M12" s="2">
        <v>2500</v>
      </c>
      <c r="N12" s="10">
        <v>1.2E-5</v>
      </c>
      <c r="O12" s="3"/>
    </row>
    <row r="13" spans="1:15">
      <c r="A13" s="2">
        <v>11</v>
      </c>
      <c r="B13" s="3" t="s">
        <v>48</v>
      </c>
      <c r="C13" s="7">
        <v>60</v>
      </c>
      <c r="D13" s="7">
        <v>75</v>
      </c>
      <c r="E13" s="7">
        <v>68</v>
      </c>
      <c r="F13" s="7">
        <v>4.4000000000000004</v>
      </c>
      <c r="G13" s="7">
        <v>3.1</v>
      </c>
      <c r="H13" s="7">
        <v>5.7</v>
      </c>
      <c r="I13" s="7">
        <v>39</v>
      </c>
      <c r="J13" s="8">
        <v>1.9</v>
      </c>
      <c r="K13" s="8">
        <v>2.9</v>
      </c>
      <c r="L13" s="2">
        <v>0.2</v>
      </c>
      <c r="M13" s="2">
        <v>2500</v>
      </c>
      <c r="N13" s="10">
        <v>1.2E-5</v>
      </c>
      <c r="O13" s="3"/>
    </row>
    <row r="14" spans="1:15">
      <c r="A14" s="2">
        <v>12</v>
      </c>
      <c r="B14" s="3" t="s">
        <v>49</v>
      </c>
      <c r="C14" s="7">
        <v>70</v>
      </c>
      <c r="D14" s="7">
        <v>85</v>
      </c>
      <c r="E14" s="7">
        <v>78</v>
      </c>
      <c r="F14" s="7">
        <v>4.5999999999999996</v>
      </c>
      <c r="G14" s="7">
        <v>3.2</v>
      </c>
      <c r="H14" s="7">
        <v>6</v>
      </c>
      <c r="I14" s="7">
        <v>41</v>
      </c>
      <c r="J14" s="8">
        <v>2</v>
      </c>
      <c r="K14" s="8">
        <v>2.7</v>
      </c>
      <c r="L14" s="2">
        <v>0.2</v>
      </c>
      <c r="M14" s="2">
        <v>2500</v>
      </c>
      <c r="N14" s="10">
        <v>1.2E-5</v>
      </c>
      <c r="O14" s="3"/>
    </row>
    <row r="15" spans="1:15">
      <c r="A15" s="2">
        <v>13</v>
      </c>
      <c r="B15" s="3" t="s">
        <v>50</v>
      </c>
      <c r="C15" s="7">
        <v>80</v>
      </c>
      <c r="D15" s="7">
        <v>95</v>
      </c>
      <c r="E15" s="7">
        <v>88</v>
      </c>
      <c r="F15" s="7">
        <v>4.8</v>
      </c>
      <c r="G15" s="7">
        <v>3.4</v>
      </c>
      <c r="H15" s="7">
        <v>6.3</v>
      </c>
      <c r="I15" s="7">
        <v>42</v>
      </c>
      <c r="J15" s="8">
        <v>2.2000000000000002</v>
      </c>
      <c r="K15" s="8">
        <v>2.6</v>
      </c>
      <c r="L15" s="2">
        <v>0.2</v>
      </c>
      <c r="M15" s="2">
        <v>2500</v>
      </c>
      <c r="N15" s="10">
        <v>1.2E-5</v>
      </c>
      <c r="O15" s="3"/>
    </row>
    <row r="16" spans="1:15">
      <c r="A16" s="2">
        <v>14</v>
      </c>
      <c r="B16" s="3" t="s">
        <v>51</v>
      </c>
      <c r="C16" s="7">
        <v>90</v>
      </c>
      <c r="D16" s="7">
        <v>105</v>
      </c>
      <c r="E16" s="7">
        <v>98</v>
      </c>
      <c r="F16" s="7">
        <v>5</v>
      </c>
      <c r="G16" s="7">
        <v>3.5</v>
      </c>
      <c r="H16" s="7">
        <v>6.6</v>
      </c>
      <c r="I16" s="7">
        <v>44</v>
      </c>
      <c r="J16" s="8">
        <v>2.2999999999999998</v>
      </c>
      <c r="K16" s="8">
        <v>2.6</v>
      </c>
      <c r="L16" s="2">
        <v>0.2</v>
      </c>
      <c r="M16" s="2">
        <v>2500</v>
      </c>
      <c r="N16" s="10">
        <v>1.2E-5</v>
      </c>
      <c r="O16" s="3"/>
    </row>
    <row r="18" spans="1:11">
      <c r="B18" s="2" t="s">
        <v>4</v>
      </c>
      <c r="C18" s="2" t="s">
        <v>5</v>
      </c>
      <c r="G18" s="2" t="s">
        <v>4</v>
      </c>
      <c r="H18" s="2" t="s">
        <v>5</v>
      </c>
      <c r="I18" s="2" t="s">
        <v>6</v>
      </c>
      <c r="J18" s="2" t="s">
        <v>7</v>
      </c>
      <c r="K18" s="2" t="s">
        <v>8</v>
      </c>
    </row>
    <row r="19" spans="1:11" ht="18">
      <c r="B19" s="12" t="s">
        <v>57</v>
      </c>
      <c r="F19" s="14" t="s">
        <v>160</v>
      </c>
      <c r="G19" s="15" t="s">
        <v>163</v>
      </c>
      <c r="H19" s="15" t="s">
        <v>87</v>
      </c>
      <c r="I19" s="15" t="s">
        <v>88</v>
      </c>
      <c r="J19" s="15" t="s">
        <v>89</v>
      </c>
      <c r="K19" s="16" t="s">
        <v>27</v>
      </c>
    </row>
    <row r="20" spans="1:11">
      <c r="A20">
        <v>1</v>
      </c>
      <c r="B20" s="12" t="s">
        <v>58</v>
      </c>
      <c r="C20">
        <v>1</v>
      </c>
      <c r="F20" s="14">
        <v>1</v>
      </c>
      <c r="G20" t="s">
        <v>161</v>
      </c>
      <c r="H20" s="15">
        <v>195</v>
      </c>
      <c r="I20" s="15">
        <v>1770</v>
      </c>
      <c r="J20" s="15">
        <v>1520</v>
      </c>
      <c r="K20" s="17">
        <v>1.2E-5</v>
      </c>
    </row>
    <row r="21" spans="1:11">
      <c r="A21">
        <v>2</v>
      </c>
      <c r="B21" s="12" t="s">
        <v>59</v>
      </c>
      <c r="C21">
        <v>0.9</v>
      </c>
      <c r="F21" s="14">
        <v>2</v>
      </c>
      <c r="G21" t="s">
        <v>162</v>
      </c>
      <c r="H21" s="15">
        <v>195</v>
      </c>
      <c r="I21" s="15">
        <v>1860</v>
      </c>
      <c r="J21" s="15">
        <v>1590</v>
      </c>
      <c r="K21" s="17">
        <v>1.2E-5</v>
      </c>
    </row>
    <row r="22" spans="1:11">
      <c r="A22">
        <v>3</v>
      </c>
      <c r="B22" s="12" t="s">
        <v>60</v>
      </c>
      <c r="C22">
        <v>0.7</v>
      </c>
    </row>
    <row r="23" spans="1:11">
      <c r="A23">
        <v>4</v>
      </c>
      <c r="B23" s="12" t="s">
        <v>61</v>
      </c>
      <c r="C23">
        <v>1.2</v>
      </c>
    </row>
    <row r="26" spans="1:11">
      <c r="B26" t="s">
        <v>4</v>
      </c>
      <c r="C26" t="s">
        <v>5</v>
      </c>
      <c r="D26" s="2" t="s">
        <v>6</v>
      </c>
      <c r="E26" s="2" t="s">
        <v>7</v>
      </c>
      <c r="F26" s="2" t="s">
        <v>8</v>
      </c>
      <c r="G26" s="2" t="s">
        <v>9</v>
      </c>
      <c r="H26" s="2" t="s">
        <v>10</v>
      </c>
      <c r="I26" s="6" t="s">
        <v>11</v>
      </c>
      <c r="J26" s="6"/>
    </row>
    <row r="27" spans="1:11" ht="18">
      <c r="A27" s="14" t="s">
        <v>81</v>
      </c>
      <c r="B27" t="s">
        <v>84</v>
      </c>
      <c r="C27" s="15" t="s">
        <v>82</v>
      </c>
      <c r="D27" s="15" t="s">
        <v>83</v>
      </c>
      <c r="E27" s="15" t="s">
        <v>87</v>
      </c>
      <c r="F27" s="15" t="s">
        <v>88</v>
      </c>
      <c r="G27" s="15" t="s">
        <v>89</v>
      </c>
      <c r="H27" s="16" t="s">
        <v>26</v>
      </c>
      <c r="I27" s="16" t="s">
        <v>27</v>
      </c>
    </row>
    <row r="28" spans="1:11">
      <c r="A28" s="14">
        <v>1</v>
      </c>
      <c r="B28" t="s">
        <v>97</v>
      </c>
      <c r="C28" s="15">
        <v>9.3000000000000007</v>
      </c>
      <c r="D28" s="15">
        <v>52</v>
      </c>
      <c r="E28" s="15">
        <v>195</v>
      </c>
      <c r="F28" s="15">
        <v>1770</v>
      </c>
      <c r="G28" s="15">
        <v>1520</v>
      </c>
      <c r="H28" s="16">
        <v>7850</v>
      </c>
      <c r="I28" s="17">
        <v>1.2E-5</v>
      </c>
    </row>
    <row r="29" spans="1:11">
      <c r="A29" s="14">
        <v>2</v>
      </c>
      <c r="B29" t="s">
        <v>95</v>
      </c>
      <c r="C29" s="15">
        <v>12.5</v>
      </c>
      <c r="D29" s="15">
        <v>93</v>
      </c>
      <c r="E29" s="15">
        <v>195</v>
      </c>
      <c r="F29" s="15">
        <v>1770</v>
      </c>
      <c r="G29" s="15">
        <v>1520</v>
      </c>
      <c r="H29" s="16">
        <v>7850</v>
      </c>
      <c r="I29" s="17">
        <v>1.2E-5</v>
      </c>
    </row>
    <row r="30" spans="1:11">
      <c r="A30" s="14">
        <v>3</v>
      </c>
      <c r="B30" t="s">
        <v>96</v>
      </c>
      <c r="C30" s="15">
        <v>12.9</v>
      </c>
      <c r="D30" s="15">
        <v>100</v>
      </c>
      <c r="E30" s="15">
        <v>195</v>
      </c>
      <c r="F30" s="15">
        <v>1770</v>
      </c>
      <c r="G30" s="15">
        <v>1520</v>
      </c>
      <c r="H30" s="16">
        <v>7850</v>
      </c>
      <c r="I30" s="17">
        <v>1.2E-5</v>
      </c>
    </row>
    <row r="31" spans="1:11">
      <c r="A31" s="14">
        <v>4</v>
      </c>
      <c r="B31" t="s">
        <v>93</v>
      </c>
      <c r="C31" s="15">
        <v>15.2</v>
      </c>
      <c r="D31" s="15">
        <v>139</v>
      </c>
      <c r="E31" s="15">
        <v>195</v>
      </c>
      <c r="F31" s="15">
        <v>1770</v>
      </c>
      <c r="G31" s="15">
        <v>1520</v>
      </c>
      <c r="H31" s="16">
        <v>7850</v>
      </c>
      <c r="I31" s="17">
        <v>1.2E-5</v>
      </c>
    </row>
    <row r="32" spans="1:11">
      <c r="A32" s="14">
        <v>5</v>
      </c>
      <c r="B32" t="s">
        <v>94</v>
      </c>
      <c r="C32" s="15">
        <v>15.7</v>
      </c>
      <c r="D32" s="15">
        <v>150</v>
      </c>
      <c r="E32" s="15">
        <v>195</v>
      </c>
      <c r="F32" s="15">
        <v>1770</v>
      </c>
      <c r="G32" s="15">
        <v>1520</v>
      </c>
      <c r="H32" s="16">
        <v>7850</v>
      </c>
      <c r="I32" s="17">
        <v>1.2E-5</v>
      </c>
    </row>
    <row r="33" spans="1:13">
      <c r="A33" s="14">
        <v>6</v>
      </c>
      <c r="B33" t="s">
        <v>85</v>
      </c>
      <c r="C33" s="15">
        <v>9.3000000000000007</v>
      </c>
      <c r="D33" s="15">
        <v>52</v>
      </c>
      <c r="E33" s="15">
        <v>195</v>
      </c>
      <c r="F33" s="15">
        <v>1860</v>
      </c>
      <c r="G33" s="15">
        <v>1590</v>
      </c>
      <c r="H33" s="16">
        <v>7850</v>
      </c>
      <c r="I33" s="17">
        <v>1.2E-5</v>
      </c>
    </row>
    <row r="34" spans="1:13">
      <c r="A34" s="14">
        <v>7</v>
      </c>
      <c r="B34" t="s">
        <v>86</v>
      </c>
      <c r="C34" s="15">
        <v>12.5</v>
      </c>
      <c r="D34" s="15">
        <v>93</v>
      </c>
      <c r="E34" s="15">
        <v>195</v>
      </c>
      <c r="F34" s="15">
        <v>1860</v>
      </c>
      <c r="G34" s="15">
        <v>1590</v>
      </c>
      <c r="H34" s="16">
        <v>7850</v>
      </c>
      <c r="I34" s="17">
        <v>1.2E-5</v>
      </c>
    </row>
    <row r="35" spans="1:13">
      <c r="A35" s="14">
        <v>8</v>
      </c>
      <c r="B35" t="s">
        <v>92</v>
      </c>
      <c r="C35" s="15">
        <v>12.9</v>
      </c>
      <c r="D35" s="15">
        <v>100</v>
      </c>
      <c r="E35" s="15">
        <v>195</v>
      </c>
      <c r="F35" s="15">
        <v>1860</v>
      </c>
      <c r="G35" s="15">
        <v>1590</v>
      </c>
      <c r="H35" s="16">
        <v>7850</v>
      </c>
      <c r="I35" s="17">
        <v>1.2E-5</v>
      </c>
    </row>
    <row r="36" spans="1:13">
      <c r="A36" s="14">
        <v>9</v>
      </c>
      <c r="B36" t="s">
        <v>90</v>
      </c>
      <c r="C36" s="15">
        <v>15.2</v>
      </c>
      <c r="D36" s="15">
        <v>139</v>
      </c>
      <c r="E36" s="15">
        <v>195</v>
      </c>
      <c r="F36" s="15">
        <v>1860</v>
      </c>
      <c r="G36" s="15">
        <v>1590</v>
      </c>
      <c r="H36" s="16">
        <v>7850</v>
      </c>
      <c r="I36" s="17">
        <v>1.2E-5</v>
      </c>
    </row>
    <row r="37" spans="1:13">
      <c r="A37" s="14">
        <v>10</v>
      </c>
      <c r="B37" t="s">
        <v>91</v>
      </c>
      <c r="C37" s="15">
        <v>15.7</v>
      </c>
      <c r="D37" s="15">
        <v>150</v>
      </c>
      <c r="E37" s="15">
        <v>195</v>
      </c>
      <c r="F37" s="15">
        <v>1860</v>
      </c>
      <c r="G37" s="15">
        <v>1590</v>
      </c>
      <c r="H37" s="16">
        <v>7850</v>
      </c>
      <c r="I37" s="17">
        <v>1.2E-5</v>
      </c>
    </row>
    <row r="39" spans="1:13">
      <c r="B39" t="s">
        <v>4</v>
      </c>
      <c r="C39" t="s">
        <v>5</v>
      </c>
      <c r="D39" s="2" t="s">
        <v>6</v>
      </c>
      <c r="E39" s="2" t="s">
        <v>7</v>
      </c>
      <c r="F39" s="2" t="s">
        <v>8</v>
      </c>
    </row>
    <row r="40" spans="1:13">
      <c r="A40" t="s">
        <v>469</v>
      </c>
      <c r="C40" t="s">
        <v>473</v>
      </c>
      <c r="D40" t="s">
        <v>474</v>
      </c>
      <c r="E40" t="s">
        <v>475</v>
      </c>
      <c r="F40" t="s">
        <v>27</v>
      </c>
    </row>
    <row r="41" spans="1:13">
      <c r="A41">
        <v>1</v>
      </c>
      <c r="B41" t="s">
        <v>470</v>
      </c>
      <c r="C41">
        <v>0.38</v>
      </c>
      <c r="D41">
        <v>3</v>
      </c>
      <c r="E41">
        <v>0.13</v>
      </c>
      <c r="F41">
        <v>-1</v>
      </c>
    </row>
    <row r="42" spans="1:13">
      <c r="A42">
        <v>2</v>
      </c>
      <c r="B42" t="s">
        <v>471</v>
      </c>
      <c r="C42">
        <v>0.25</v>
      </c>
      <c r="D42">
        <v>4</v>
      </c>
      <c r="E42">
        <v>0.12</v>
      </c>
      <c r="F42">
        <v>0</v>
      </c>
    </row>
    <row r="43" spans="1:13">
      <c r="A43">
        <v>3</v>
      </c>
      <c r="B43" t="s">
        <v>472</v>
      </c>
      <c r="C43">
        <v>0.2</v>
      </c>
      <c r="D43">
        <v>6</v>
      </c>
      <c r="E43">
        <v>0.11</v>
      </c>
      <c r="F43">
        <v>1</v>
      </c>
    </row>
    <row r="45" spans="1:13">
      <c r="A45" t="s">
        <v>905</v>
      </c>
    </row>
    <row r="46" spans="1:13" ht="18">
      <c r="C46" s="13" t="s">
        <v>291</v>
      </c>
      <c r="D46" s="18" t="s">
        <v>324</v>
      </c>
      <c r="I46" s="18" t="s">
        <v>323</v>
      </c>
      <c r="M46" s="13" t="s">
        <v>293</v>
      </c>
    </row>
    <row r="47" spans="1:13" ht="16.5">
      <c r="A47">
        <v>1</v>
      </c>
      <c r="B47" s="1" t="s">
        <v>906</v>
      </c>
      <c r="C47">
        <v>2.7</v>
      </c>
      <c r="D47">
        <v>0.25</v>
      </c>
      <c r="F47">
        <v>1</v>
      </c>
      <c r="G47" s="1" t="s">
        <v>908</v>
      </c>
      <c r="I47">
        <v>1.25</v>
      </c>
      <c r="K47">
        <v>1</v>
      </c>
      <c r="L47" s="1" t="s">
        <v>910</v>
      </c>
      <c r="M47">
        <v>1</v>
      </c>
    </row>
    <row r="48" spans="1:13" ht="16.5">
      <c r="A48">
        <v>2</v>
      </c>
      <c r="B48" s="1" t="s">
        <v>907</v>
      </c>
      <c r="C48">
        <v>3.2</v>
      </c>
      <c r="D48">
        <v>0.19</v>
      </c>
      <c r="F48">
        <v>2</v>
      </c>
      <c r="G48" s="1" t="s">
        <v>909</v>
      </c>
      <c r="I48">
        <v>1</v>
      </c>
      <c r="K48">
        <v>2</v>
      </c>
      <c r="L48" s="1" t="s">
        <v>911</v>
      </c>
      <c r="M48">
        <v>0.7</v>
      </c>
    </row>
  </sheetData>
  <sheetProtection password="C724" sheet="1" objects="1" scenarios="1" selectLockedCells="1" selectUnlockedCells="1"/>
  <customSheetViews>
    <customSheetView guid="{292F2AC6-798D-463B-8F80-590EE4A0FC51}" topLeftCell="A20">
      <selection activeCell="O40" sqref="O40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Ztráty předpětí PPD</vt:lpstr>
      <vt:lpstr>Hodnoty</vt:lpstr>
      <vt:lpstr>'Ztráty předpětí PPD'!Print_Area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Franta Girgle</dc:creator>
  <cp:lastModifiedBy>Franta Girgle</cp:lastModifiedBy>
  <cp:lastPrinted>2010-07-19T07:39:46Z</cp:lastPrinted>
  <dcterms:created xsi:type="dcterms:W3CDTF">2010-06-30T18:44:07Z</dcterms:created>
  <dcterms:modified xsi:type="dcterms:W3CDTF">2010-10-14T06:58:25Z</dcterms:modified>
</cp:coreProperties>
</file>